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480" windowHeight="4755" tabRatio="803" activeTab="3"/>
  </bookViews>
  <sheets>
    <sheet name="CAPEX-city" sheetId="43" r:id="rId1"/>
    <sheet name="P&amp;L-city" sheetId="51" r:id="rId2"/>
    <sheet name="Balance Sheet-city" sheetId="15" r:id="rId3"/>
    <sheet name="Value-Summary" sheetId="55" r:id="rId4"/>
  </sheets>
  <definedNames>
    <definedName name="_xlnm.Print_Area" localSheetId="2">'Balance Sheet-city'!$A$20:$E$34</definedName>
    <definedName name="costeprod">#REF!</definedName>
    <definedName name="szenario">#REF!</definedName>
  </definedNames>
  <calcPr calcId="145621"/>
</workbook>
</file>

<file path=xl/calcChain.xml><?xml version="1.0" encoding="utf-8"?>
<calcChain xmlns="http://schemas.openxmlformats.org/spreadsheetml/2006/main">
  <c r="B19" i="43" l="1"/>
  <c r="I19" i="43"/>
  <c r="I25" i="43" l="1"/>
  <c r="F21" i="51"/>
  <c r="E17" i="55"/>
  <c r="H48" i="51"/>
  <c r="I48" i="51"/>
  <c r="J48" i="51"/>
  <c r="K48" i="51"/>
  <c r="B21" i="51" l="1"/>
  <c r="B19" i="51" s="1"/>
  <c r="G5" i="55"/>
  <c r="F5" i="55"/>
  <c r="E5" i="55"/>
  <c r="D5" i="55"/>
  <c r="E23" i="55" l="1"/>
  <c r="E22" i="55"/>
  <c r="E20" i="55"/>
  <c r="E20" i="51"/>
  <c r="D20" i="51"/>
  <c r="C20" i="51"/>
  <c r="B20" i="51"/>
  <c r="C25" i="51" l="1"/>
  <c r="D25" i="51"/>
  <c r="E25" i="51"/>
  <c r="B25" i="51"/>
  <c r="C26" i="51"/>
  <c r="D26" i="51"/>
  <c r="E26" i="51"/>
  <c r="B26" i="51"/>
  <c r="C28" i="51"/>
  <c r="D28" i="51"/>
  <c r="E28" i="51"/>
  <c r="B28" i="51"/>
  <c r="C47" i="51"/>
  <c r="D47" i="51"/>
  <c r="E47" i="51"/>
  <c r="B47" i="51"/>
  <c r="C46" i="51"/>
  <c r="D46" i="51"/>
  <c r="E46" i="51"/>
  <c r="B46" i="51"/>
  <c r="E27" i="51"/>
  <c r="D27" i="51"/>
  <c r="C27" i="51"/>
  <c r="B18" i="43" l="1"/>
  <c r="C12" i="15"/>
  <c r="E12" i="15" l="1"/>
  <c r="D12" i="15"/>
  <c r="C18" i="43" l="1"/>
  <c r="D18" i="43" l="1"/>
  <c r="E18" i="43" s="1"/>
  <c r="B42" i="51" l="1"/>
  <c r="B39" i="51"/>
  <c r="C39" i="51" s="1"/>
  <c r="D39" i="51" s="1"/>
  <c r="E39" i="51" s="1"/>
  <c r="B40" i="51"/>
  <c r="C40" i="51" s="1"/>
  <c r="D40" i="51" s="1"/>
  <c r="E40" i="51" s="1"/>
  <c r="B38" i="51"/>
  <c r="C38" i="51" s="1"/>
  <c r="D38" i="51" s="1"/>
  <c r="E38" i="51" s="1"/>
  <c r="B37" i="51"/>
  <c r="C37" i="51" s="1"/>
  <c r="D37" i="51" s="1"/>
  <c r="E37" i="51" s="1"/>
  <c r="C45" i="51"/>
  <c r="B45" i="51"/>
  <c r="D45" i="51"/>
  <c r="E45" i="51"/>
  <c r="C14" i="51"/>
  <c r="C15" i="51"/>
  <c r="D15" i="51"/>
  <c r="E15" i="51"/>
  <c r="D14" i="51" l="1"/>
  <c r="B16" i="43"/>
  <c r="B17" i="43" s="1"/>
  <c r="E14" i="51" l="1"/>
  <c r="C16" i="43"/>
  <c r="D16" i="43" s="1"/>
  <c r="E16" i="43" s="1"/>
  <c r="C17" i="43" l="1"/>
  <c r="D17" i="43" s="1"/>
  <c r="E17" i="43" s="1"/>
  <c r="B26" i="15"/>
  <c r="B24" i="51"/>
  <c r="B23" i="51"/>
  <c r="D5" i="43" l="1"/>
  <c r="B44" i="51"/>
  <c r="E42" i="51"/>
  <c r="D42" i="51"/>
  <c r="C42" i="51"/>
  <c r="B3" i="51"/>
  <c r="C24" i="51"/>
  <c r="C23" i="51"/>
  <c r="D4" i="55" l="1"/>
  <c r="D24" i="51"/>
  <c r="D23" i="51"/>
  <c r="E5" i="43"/>
  <c r="B36" i="51"/>
  <c r="B5" i="43"/>
  <c r="C5" i="43"/>
  <c r="D44" i="51"/>
  <c r="E44" i="51"/>
  <c r="C44" i="51"/>
  <c r="E23" i="51" l="1"/>
  <c r="E24" i="51"/>
  <c r="B35" i="51"/>
  <c r="C36" i="51"/>
  <c r="D36" i="51" l="1"/>
  <c r="C35" i="51"/>
  <c r="B15" i="51"/>
  <c r="B6" i="51"/>
  <c r="E7" i="51"/>
  <c r="D7" i="51"/>
  <c r="C7" i="51"/>
  <c r="E4" i="51"/>
  <c r="D4" i="51"/>
  <c r="B9" i="51" l="1"/>
  <c r="B11" i="51" s="1"/>
  <c r="B13" i="51"/>
  <c r="B12" i="51"/>
  <c r="D7" i="55" s="1"/>
  <c r="E36" i="51"/>
  <c r="E35" i="51" s="1"/>
  <c r="D35" i="51"/>
  <c r="E3" i="51"/>
  <c r="D3" i="51"/>
  <c r="C3" i="51"/>
  <c r="G4" i="55" l="1"/>
  <c r="E4" i="55"/>
  <c r="F4" i="55"/>
  <c r="D6" i="55"/>
  <c r="B30" i="51"/>
  <c r="B22" i="51"/>
  <c r="B8" i="43"/>
  <c r="B7" i="43" s="1"/>
  <c r="D6" i="51"/>
  <c r="C6" i="51"/>
  <c r="E6" i="51"/>
  <c r="B6" i="15"/>
  <c r="B37" i="15" s="1"/>
  <c r="B10" i="43" l="1"/>
  <c r="E13" i="51"/>
  <c r="B21" i="43"/>
  <c r="B29" i="51"/>
  <c r="D9" i="51"/>
  <c r="E9" i="51"/>
  <c r="C9" i="51"/>
  <c r="C13" i="51"/>
  <c r="D13" i="51"/>
  <c r="B9" i="43" l="1"/>
  <c r="B43" i="51"/>
  <c r="B22" i="43"/>
  <c r="B34" i="51"/>
  <c r="B33" i="51" s="1"/>
  <c r="D11" i="51"/>
  <c r="D30" i="51" s="1"/>
  <c r="D22" i="51"/>
  <c r="E6" i="55"/>
  <c r="C11" i="51"/>
  <c r="C30" i="51" s="1"/>
  <c r="C22" i="51"/>
  <c r="B24" i="43"/>
  <c r="B23" i="43" s="1"/>
  <c r="E11" i="51"/>
  <c r="E30" i="51" s="1"/>
  <c r="E22" i="51"/>
  <c r="D21" i="43"/>
  <c r="D24" i="43" s="1"/>
  <c r="C8" i="43"/>
  <c r="C10" i="43" s="1"/>
  <c r="C43" i="51" s="1"/>
  <c r="D8" i="43"/>
  <c r="D10" i="43" s="1"/>
  <c r="D43" i="51" s="1"/>
  <c r="G6" i="55"/>
  <c r="F6" i="55"/>
  <c r="B6" i="43"/>
  <c r="B11" i="43" s="1"/>
  <c r="D12" i="51"/>
  <c r="D6" i="15" s="1"/>
  <c r="D37" i="15" s="1"/>
  <c r="E12" i="51"/>
  <c r="E6" i="15" s="1"/>
  <c r="E37" i="15" s="1"/>
  <c r="C12" i="51"/>
  <c r="B25" i="43" l="1"/>
  <c r="B27" i="43" s="1"/>
  <c r="G7" i="55"/>
  <c r="E7" i="55"/>
  <c r="F7" i="55"/>
  <c r="E21" i="43"/>
  <c r="E24" i="43" s="1"/>
  <c r="C21" i="43"/>
  <c r="C22" i="43" s="1"/>
  <c r="E8" i="43"/>
  <c r="E10" i="43" s="1"/>
  <c r="D34" i="51"/>
  <c r="D33" i="51" s="1"/>
  <c r="C7" i="43"/>
  <c r="D7" i="43" s="1"/>
  <c r="D22" i="43"/>
  <c r="D21" i="51" s="1"/>
  <c r="D19" i="51" s="1"/>
  <c r="E29" i="51"/>
  <c r="B18" i="51"/>
  <c r="B16" i="15" s="1"/>
  <c r="B17" i="15" s="1"/>
  <c r="C29" i="51"/>
  <c r="D29" i="51"/>
  <c r="D6" i="43"/>
  <c r="E6" i="43" s="1"/>
  <c r="C6" i="15"/>
  <c r="C37" i="15" s="1"/>
  <c r="C19" i="43" l="1"/>
  <c r="C21" i="51"/>
  <c r="C19" i="51" s="1"/>
  <c r="B30" i="43"/>
  <c r="B32" i="43" s="1"/>
  <c r="E43" i="51"/>
  <c r="E34" i="51" s="1"/>
  <c r="E33" i="51" s="1"/>
  <c r="D19" i="43"/>
  <c r="E22" i="43"/>
  <c r="E21" i="51" s="1"/>
  <c r="E19" i="51" s="1"/>
  <c r="C24" i="43"/>
  <c r="C23" i="43" s="1"/>
  <c r="D23" i="43" s="1"/>
  <c r="E23" i="43" s="1"/>
  <c r="E7" i="43"/>
  <c r="B31" i="51"/>
  <c r="B50" i="51" s="1"/>
  <c r="C34" i="51"/>
  <c r="C33" i="51" s="1"/>
  <c r="C9" i="43"/>
  <c r="E18" i="51"/>
  <c r="C6" i="43"/>
  <c r="D18" i="51"/>
  <c r="D16" i="15" s="1"/>
  <c r="D17" i="15" s="1"/>
  <c r="C18" i="51"/>
  <c r="C25" i="43" l="1"/>
  <c r="C27" i="43" s="1"/>
  <c r="E16" i="15"/>
  <c r="E17" i="15" s="1"/>
  <c r="D25" i="43"/>
  <c r="E19" i="43"/>
  <c r="C11" i="43"/>
  <c r="D8" i="55"/>
  <c r="E31" i="51"/>
  <c r="E50" i="51" s="1"/>
  <c r="C16" i="15"/>
  <c r="C17" i="15" s="1"/>
  <c r="C30" i="43"/>
  <c r="D9" i="43"/>
  <c r="D11" i="43" s="1"/>
  <c r="D31" i="51"/>
  <c r="D50" i="51" s="1"/>
  <c r="E25" i="43"/>
  <c r="C31" i="51"/>
  <c r="C50" i="51" s="1"/>
  <c r="B26" i="43"/>
  <c r="B28" i="43" s="1"/>
  <c r="G8" i="55" l="1"/>
  <c r="E11" i="55" s="1"/>
  <c r="E13" i="55" s="1"/>
  <c r="E15" i="55" s="1"/>
  <c r="E19" i="55" s="1"/>
  <c r="E21" i="55" s="1"/>
  <c r="E25" i="55" s="1"/>
  <c r="E8" i="55"/>
  <c r="F8" i="55"/>
  <c r="E9" i="43"/>
  <c r="E11" i="43" s="1"/>
  <c r="C26" i="15" l="1"/>
  <c r="D26" i="15" l="1"/>
  <c r="E26" i="15" l="1"/>
  <c r="B38" i="15"/>
  <c r="B39" i="15" s="1"/>
  <c r="B40" i="15" s="1"/>
  <c r="B32" i="15" l="1"/>
  <c r="B25" i="15"/>
  <c r="C26" i="43" l="1"/>
  <c r="C28" i="43" l="1"/>
  <c r="C38" i="15" l="1"/>
  <c r="C39" i="15" s="1"/>
  <c r="C40" i="15" s="1"/>
  <c r="C32" i="15" l="1"/>
  <c r="C25" i="15"/>
  <c r="D27" i="43" l="1"/>
  <c r="D26" i="43"/>
  <c r="D28" i="43" l="1"/>
  <c r="D38" i="15" l="1"/>
  <c r="D39" i="15" s="1"/>
  <c r="D40" i="15" s="1"/>
  <c r="D32" i="15" l="1"/>
  <c r="D25" i="15"/>
  <c r="E27" i="43" l="1"/>
  <c r="E26" i="43"/>
  <c r="E28" i="43" l="1"/>
  <c r="E38" i="15" l="1"/>
  <c r="E39" i="15" s="1"/>
  <c r="E40" i="15" s="1"/>
  <c r="E25" i="15" l="1"/>
  <c r="E32" i="15"/>
  <c r="B12" i="43" l="1"/>
  <c r="B14" i="43" s="1"/>
  <c r="B13" i="43"/>
  <c r="C13" i="43" s="1"/>
  <c r="C12" i="43"/>
  <c r="C31" i="43" s="1"/>
  <c r="E12" i="43"/>
  <c r="C32" i="43"/>
  <c r="B3" i="15"/>
  <c r="E30" i="43"/>
  <c r="B31" i="43" l="1"/>
  <c r="B33" i="43" s="1"/>
  <c r="C33" i="43" s="1"/>
  <c r="C52" i="51"/>
  <c r="C54" i="51" s="1"/>
  <c r="D13" i="43"/>
  <c r="E13" i="43" s="1"/>
  <c r="C14" i="43"/>
  <c r="D30" i="43"/>
  <c r="D32" i="43" s="1"/>
  <c r="D12" i="43"/>
  <c r="D31" i="43" s="1"/>
  <c r="B29" i="15"/>
  <c r="C3" i="15"/>
  <c r="E31" i="43"/>
  <c r="B4" i="15" l="1"/>
  <c r="B23" i="15" s="1"/>
  <c r="B52" i="51"/>
  <c r="B54" i="51" s="1"/>
  <c r="D52" i="51"/>
  <c r="D54" i="51" s="1"/>
  <c r="E52" i="51"/>
  <c r="E54" i="51" s="1"/>
  <c r="D14" i="43"/>
  <c r="E14" i="43" s="1"/>
  <c r="C4" i="15"/>
  <c r="C5" i="15" s="1"/>
  <c r="D33" i="43"/>
  <c r="C22" i="15"/>
  <c r="C29" i="15"/>
  <c r="E32" i="43"/>
  <c r="E3" i="15" s="1"/>
  <c r="D3" i="15"/>
  <c r="B5" i="15" l="1"/>
  <c r="B57" i="51"/>
  <c r="B59" i="51" s="1"/>
  <c r="B56" i="51"/>
  <c r="C56" i="51" s="1"/>
  <c r="C57" i="51" s="1"/>
  <c r="C59" i="51" s="1"/>
  <c r="D22" i="15"/>
  <c r="D29" i="15"/>
  <c r="D4" i="15"/>
  <c r="D5" i="15" s="1"/>
  <c r="E33" i="43"/>
  <c r="E4" i="15" s="1"/>
  <c r="E5" i="15" s="1"/>
  <c r="E22" i="15"/>
  <c r="E29" i="15"/>
  <c r="C23" i="15"/>
  <c r="C30" i="15"/>
  <c r="E9" i="55" l="1"/>
  <c r="D9" i="55"/>
  <c r="C14" i="15"/>
  <c r="C24" i="15" s="1"/>
  <c r="D56" i="51"/>
  <c r="B14" i="15"/>
  <c r="E23" i="15"/>
  <c r="E30" i="15"/>
  <c r="D23" i="15"/>
  <c r="D30" i="15"/>
  <c r="C31" i="15" l="1"/>
  <c r="D57" i="51"/>
  <c r="D59" i="51" s="1"/>
  <c r="E56" i="51"/>
  <c r="E57" i="51" s="1"/>
  <c r="E59" i="51" s="1"/>
  <c r="C13" i="15"/>
  <c r="B31" i="15"/>
  <c r="B15" i="15"/>
  <c r="B18" i="15" s="1"/>
  <c r="B7" i="15" s="1"/>
  <c r="B24" i="15"/>
  <c r="B21" i="15" s="1"/>
  <c r="H8" i="55"/>
  <c r="G9" i="55" l="1"/>
  <c r="F9" i="55"/>
  <c r="E14" i="15"/>
  <c r="D14" i="15"/>
  <c r="B34" i="15"/>
  <c r="B28" i="15" s="1"/>
  <c r="B8" i="15"/>
  <c r="B9" i="15" s="1"/>
  <c r="D13" i="15"/>
  <c r="C15" i="15"/>
  <c r="C18" i="15" s="1"/>
  <c r="C7" i="15" s="1"/>
  <c r="H7" i="55" l="1"/>
  <c r="E31" i="15"/>
  <c r="E24" i="15"/>
  <c r="D24" i="15"/>
  <c r="D31" i="15"/>
  <c r="E13" i="15"/>
  <c r="E15" i="15" s="1"/>
  <c r="E18" i="15" s="1"/>
  <c r="E7" i="15" s="1"/>
  <c r="D15" i="15"/>
  <c r="D18" i="15" s="1"/>
  <c r="D7" i="15" s="1"/>
  <c r="C8" i="15"/>
  <c r="C9" i="15" s="1"/>
  <c r="C34" i="15"/>
  <c r="C28" i="15" s="1"/>
  <c r="C27" i="15"/>
  <c r="C21" i="15" s="1"/>
  <c r="H9" i="55"/>
  <c r="E34" i="15" l="1"/>
  <c r="E28" i="15" s="1"/>
  <c r="E8" i="15"/>
  <c r="E9" i="15" s="1"/>
  <c r="D27" i="15"/>
  <c r="D21" i="15" s="1"/>
  <c r="D34" i="15"/>
  <c r="D28" i="15" s="1"/>
  <c r="D8" i="15"/>
  <c r="D9" i="15" s="1"/>
  <c r="E27" i="15"/>
  <c r="E21" i="15" s="1"/>
</calcChain>
</file>

<file path=xl/sharedStrings.xml><?xml version="1.0" encoding="utf-8"?>
<sst xmlns="http://schemas.openxmlformats.org/spreadsheetml/2006/main" count="180" uniqueCount="164">
  <si>
    <t>EBITDA</t>
  </si>
  <si>
    <t>EBIDTA</t>
  </si>
  <si>
    <t>€/kWh</t>
  </si>
  <si>
    <t>Marketing</t>
  </si>
  <si>
    <t>Tangible Assets</t>
  </si>
  <si>
    <t>Depreciations</t>
  </si>
  <si>
    <t>Fixed Assets</t>
  </si>
  <si>
    <t>Customers</t>
  </si>
  <si>
    <t>Banks</t>
  </si>
  <si>
    <t>Current Asset</t>
  </si>
  <si>
    <t>Total Assets</t>
  </si>
  <si>
    <t>Share capital</t>
  </si>
  <si>
    <t>Reserves</t>
  </si>
  <si>
    <t>Annual Net Benefit</t>
  </si>
  <si>
    <t>Equity</t>
  </si>
  <si>
    <t>Creditors</t>
  </si>
  <si>
    <t>Current Liabilities</t>
  </si>
  <si>
    <t>Total Liabilities</t>
  </si>
  <si>
    <t>ACP</t>
  </si>
  <si>
    <t>APP</t>
  </si>
  <si>
    <t>SOURCES</t>
  </si>
  <si>
    <t>Depreciation (increase)</t>
  </si>
  <si>
    <t>Net Benefit (increase)</t>
  </si>
  <si>
    <t>Working capital (decrease)</t>
  </si>
  <si>
    <t>Capital (increase)</t>
  </si>
  <si>
    <t>Banks (decrease)</t>
  </si>
  <si>
    <t>APPLICATIONS</t>
  </si>
  <si>
    <t>Depreciation (decrease)</t>
  </si>
  <si>
    <t>Net Benefit (decrease)</t>
  </si>
  <si>
    <t>Working capital (increase)</t>
  </si>
  <si>
    <t>Capital (decrease)</t>
  </si>
  <si>
    <t>Banks (increase)</t>
  </si>
  <si>
    <t>Current Assets</t>
  </si>
  <si>
    <t>Working Capital</t>
  </si>
  <si>
    <t>Increase/decrease</t>
  </si>
  <si>
    <t>Nº scooters per city (annual average)</t>
  </si>
  <si>
    <t>Nº scooters per city (start of period)</t>
  </si>
  <si>
    <t>Nº scooters per city (end of period)</t>
  </si>
  <si>
    <t>Min/scooter/day (annual average)</t>
  </si>
  <si>
    <t>Min/scooter/day (start of the period)</t>
  </si>
  <si>
    <t>Min/scooter/day (end of the period)</t>
  </si>
  <si>
    <t>Revenues</t>
  </si>
  <si>
    <t>Revenues from services</t>
  </si>
  <si>
    <t>Sponsoring</t>
  </si>
  <si>
    <t>Revenues from reservations</t>
  </si>
  <si>
    <t>€/min</t>
  </si>
  <si>
    <t>Direct costs</t>
  </si>
  <si>
    <t>Operational costs (Motorbikes)</t>
  </si>
  <si>
    <t>Salaries of operators</t>
  </si>
  <si>
    <t>Gross Margin</t>
  </si>
  <si>
    <t>Depreciation</t>
  </si>
  <si>
    <t>Fiscal Shield</t>
  </si>
  <si>
    <t>Taxes</t>
  </si>
  <si>
    <t>Monthly salary</t>
  </si>
  <si>
    <t>Operations</t>
  </si>
  <si>
    <t>Supplies</t>
  </si>
  <si>
    <t>Electricity</t>
  </si>
  <si>
    <t>Water</t>
  </si>
  <si>
    <t>Telephones</t>
  </si>
  <si>
    <t>Office and parking rental</t>
  </si>
  <si>
    <t>Salaries (overhead)</t>
  </si>
  <si>
    <t>€/month</t>
  </si>
  <si>
    <t>€/month-employee</t>
  </si>
  <si>
    <t>Personnel insurances</t>
  </si>
  <si>
    <t xml:space="preserve">Marketing </t>
  </si>
  <si>
    <t>EBT</t>
  </si>
  <si>
    <t>Net Benefit</t>
  </si>
  <si>
    <t>EV/EBITDA (x)</t>
  </si>
  <si>
    <t>Enterprise Value</t>
  </si>
  <si>
    <t>(-) net debt</t>
  </si>
  <si>
    <t>Equity Value</t>
  </si>
  <si>
    <t>Entry</t>
  </si>
  <si>
    <t>Exit</t>
  </si>
  <si>
    <t xml:space="preserve"> Investor investment</t>
  </si>
  <si>
    <t>%  Investor</t>
  </si>
  <si>
    <t xml:space="preserve"> Investor proceeds</t>
  </si>
  <si>
    <t>IT Equipment for staff</t>
  </si>
  <si>
    <t>Racks for battery charging</t>
  </si>
  <si>
    <t>Annual Investment (Total)</t>
  </si>
  <si>
    <t>Annual Depreciation (Total)</t>
  </si>
  <si>
    <t>Accumulated Investment (Total)</t>
  </si>
  <si>
    <t>Accumulated Depreciation (Total)</t>
  </si>
  <si>
    <t>Scooter</t>
  </si>
  <si>
    <t>Battery</t>
  </si>
  <si>
    <t>Registration</t>
  </si>
  <si>
    <t>Transport</t>
  </si>
  <si>
    <t>Helmets</t>
  </si>
  <si>
    <t>Extra batteries</t>
  </si>
  <si>
    <t>Annual Depreciation (set-up)</t>
  </si>
  <si>
    <t>Accumulated Depreciation  (set-up)</t>
  </si>
  <si>
    <t>Annual Investment (miscellanious)</t>
  </si>
  <si>
    <t>Annual Depreciation  (miscellanious)</t>
  </si>
  <si>
    <t>Accumulated Investment (miscellanious)</t>
  </si>
  <si>
    <t>Accumulated Depreciation (miscellanious)</t>
  </si>
  <si>
    <t>Annual Investment (Motorbikes + batteries)</t>
  </si>
  <si>
    <t>Accumulated Investment (Motorbikes + batteries)</t>
  </si>
  <si>
    <t>Accumulated Depreciation(Motorbikes + batteries)</t>
  </si>
  <si>
    <t xml:space="preserve">Motorbikes </t>
  </si>
  <si>
    <t>Rear trunk</t>
  </si>
  <si>
    <t>Annual Depreciation (Motorbikes + batteries)</t>
  </si>
  <si>
    <t>General expenses</t>
  </si>
  <si>
    <t>Expenses</t>
  </si>
  <si>
    <t>N° cities</t>
  </si>
  <si>
    <t>Net Cash Flow</t>
  </si>
  <si>
    <t>Set-up investment (lawyers, notary, taxes,…)</t>
  </si>
  <si>
    <t>Prices</t>
  </si>
  <si>
    <t>Depreciation period = 5 years</t>
  </si>
  <si>
    <t>Depreciation period = 4 years</t>
  </si>
  <si>
    <t>€/employee</t>
  </si>
  <si>
    <t>Added value services</t>
  </si>
  <si>
    <t>Tools</t>
  </si>
  <si>
    <t>€/month-bike</t>
  </si>
  <si>
    <t>€/year-bike</t>
  </si>
  <si>
    <t>Corporate Insurances</t>
  </si>
  <si>
    <t>Assets (decrease)</t>
  </si>
  <si>
    <t>Assets (increase)</t>
  </si>
  <si>
    <t>taxes</t>
  </si>
  <si>
    <t>trips/scooter-day (annual average)</t>
  </si>
  <si>
    <t>battery swapping/scooter-day (annual average)</t>
  </si>
  <si>
    <t>N° scooters (annual average)</t>
  </si>
  <si>
    <t>Trips/day  (annual average)</t>
  </si>
  <si>
    <t>(courtesy time not included)</t>
  </si>
  <si>
    <t>min/trip (courtesy time not included)</t>
  </si>
  <si>
    <t>Euros</t>
  </si>
  <si>
    <t>IIR</t>
  </si>
  <si>
    <t>Stickers</t>
  </si>
  <si>
    <t>battery swapping/operator/hour</t>
  </si>
  <si>
    <t>Total number of operators</t>
  </si>
  <si>
    <t>charging time= 4 hours</t>
  </si>
  <si>
    <t>extra batteries (total)</t>
  </si>
  <si>
    <t>2 shifts/day and 1,5X for vacations</t>
  </si>
  <si>
    <t xml:space="preserve">Number of racks </t>
  </si>
  <si>
    <t>€/rack</t>
  </si>
  <si>
    <t>rack with 6 positions and 4 hours -charging time - during 16 hour</t>
  </si>
  <si>
    <t>Number of operators (simultaneously). End of year</t>
  </si>
  <si>
    <t>km/trip</t>
  </si>
  <si>
    <t>55 km range and 85% effiency. 0,1 additional for dashboard comsumption</t>
  </si>
  <si>
    <t>Electrical installation of parkings</t>
  </si>
  <si>
    <t>€/installation</t>
  </si>
  <si>
    <t>Call center</t>
  </si>
  <si>
    <t>Total cost</t>
  </si>
  <si>
    <t>Local Domain (email)</t>
  </si>
  <si>
    <t>Office Material and others</t>
  </si>
  <si>
    <t xml:space="preserve">55 €/penalty. 2 penalties/month/100 bikes </t>
  </si>
  <si>
    <t>1 helmet,3 mirrors and 0,2 trunk/month/100 bikes</t>
  </si>
  <si>
    <t xml:space="preserve">35 €/service. 0,9 servicies/month/100 bikes </t>
  </si>
  <si>
    <t>€/6.000 km (tyres and brakes)</t>
  </si>
  <si>
    <t>N° scooters (end of period)</t>
  </si>
  <si>
    <t>IT Equipment and clothes  for operators</t>
  </si>
  <si>
    <t>4 racks by parking space</t>
  </si>
  <si>
    <t xml:space="preserve">Number of parkings </t>
  </si>
  <si>
    <t>number of fleet motorbikes</t>
  </si>
  <si>
    <t>Fleet motorbikes for operators</t>
  </si>
  <si>
    <t>Licence fees (€/motorbike/year)</t>
  </si>
  <si>
    <t>Renting of batteries (€/motorbike/year)</t>
  </si>
  <si>
    <t>Electricity (€/motorbike/year)</t>
  </si>
  <si>
    <t>Insurance (€/motorbike/year)</t>
  </si>
  <si>
    <t>Communications (€/motorbike/year)</t>
  </si>
  <si>
    <t>Tow truck service (€/motorbike/year)</t>
  </si>
  <si>
    <t>Spare parts (mirrors, helmets,…) (€/motorbike/year)</t>
  </si>
  <si>
    <t>Maintenance (€/motorbike/year)</t>
  </si>
  <si>
    <t>Traffic penalties (€/motorbike/year)</t>
  </si>
  <si>
    <t>¿Renting baterías?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</si>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</sst>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[$-409]mmm\-yy;@"/>
    <numFmt numFmtId="165" formatCode="_-* #,##0.00\ _D_M_-;\-* #,##0.00\ _D_M_-;_-* &quot;-&quot;??\ _D_M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;\(#,##0\)"/>
    <numFmt numFmtId="169" formatCode="0.00&quot;x&quot;"/>
    <numFmt numFmtId="170" formatCode="_-* #,##0\ _€_-;\-* #,##0\ _€_-;_-* &quot;-&quot;??\ _€_-;_-@_-"/>
    <numFmt numFmtId="171" formatCode="_-* #,##0.0\ _€_-;\-* #,##0.0\ _€_-;_-* &quot;-&quot;??\ _€_-;_-@_-"/>
    <numFmt numFmtId="172" formatCode="0.0"/>
    <numFmt numFmtId="173" formatCode="#,##0.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1"/>
      <name val="Segoe UI"/>
      <family val="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6"/>
      <color theme="1"/>
      <name val="Segoe UI Light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gradientFill degree="270">
        <stop position="0">
          <color theme="7"/>
        </stop>
        <stop position="1">
          <color theme="7" tint="0.40000610370189521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7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7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4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21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21" borderId="0" applyNumberFormat="0" applyBorder="0" applyAlignment="0" applyProtection="0"/>
    <xf numFmtId="164" fontId="8" fillId="22" borderId="15" applyNumberFormat="0" applyAlignment="0" applyProtection="0"/>
    <xf numFmtId="164" fontId="9" fillId="5" borderId="0" applyNumberFormat="0" applyBorder="0" applyAlignment="0" applyProtection="0"/>
    <xf numFmtId="164" fontId="10" fillId="22" borderId="16" applyNumberFormat="0" applyAlignment="0" applyProtection="0"/>
    <xf numFmtId="164" fontId="10" fillId="22" borderId="16" applyNumberFormat="0" applyAlignment="0" applyProtection="0"/>
    <xf numFmtId="164" fontId="11" fillId="23" borderId="17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2" fillId="9" borderId="16" applyNumberFormat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164" fontId="15" fillId="6" borderId="0" applyNumberFormat="0" applyBorder="0" applyAlignment="0" applyProtection="0"/>
    <xf numFmtId="164" fontId="15" fillId="6" borderId="0" applyNumberFormat="0" applyBorder="0" applyAlignment="0" applyProtection="0"/>
    <xf numFmtId="164" fontId="16" fillId="0" borderId="19" applyNumberFormat="0" applyFill="0" applyAlignment="0" applyProtection="0"/>
    <xf numFmtId="164" fontId="17" fillId="0" borderId="20" applyNumberFormat="0" applyFill="0" applyAlignment="0" applyProtection="0"/>
    <xf numFmtId="164" fontId="18" fillId="0" borderId="21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22" applyNumberFormat="0" applyFill="0" applyAlignment="0" applyProtection="0"/>
    <xf numFmtId="0" fontId="20" fillId="0" borderId="0"/>
    <xf numFmtId="0" fontId="21" fillId="0" borderId="0"/>
    <xf numFmtId="0" fontId="22" fillId="0" borderId="0"/>
    <xf numFmtId="0" fontId="2" fillId="0" borderId="0"/>
    <xf numFmtId="164" fontId="4" fillId="0" borderId="0"/>
    <xf numFmtId="164" fontId="4" fillId="24" borderId="23" applyNumberFormat="0" applyFont="0" applyAlignment="0" applyProtection="0"/>
    <xf numFmtId="0" fontId="2" fillId="3" borderId="14" applyNumberFormat="0" applyFont="0" applyAlignment="0" applyProtection="0"/>
    <xf numFmtId="164" fontId="4" fillId="24" borderId="23" applyNumberFormat="0" applyFont="0" applyAlignment="0" applyProtection="0"/>
    <xf numFmtId="164" fontId="9" fillId="5" borderId="0" applyNumberFormat="0" applyBorder="0" applyAlignment="0" applyProtection="0"/>
    <xf numFmtId="0" fontId="23" fillId="25" borderId="0">
      <alignment horizontal="center" vertical="center"/>
    </xf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6" fillId="0" borderId="19" applyNumberFormat="0" applyFill="0" applyAlignment="0" applyProtection="0"/>
    <xf numFmtId="164" fontId="17" fillId="0" borderId="20" applyNumberFormat="0" applyFill="0" applyAlignment="0" applyProtection="0"/>
    <xf numFmtId="164" fontId="18" fillId="0" borderId="21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22" applyNumberFormat="0" applyFill="0" applyAlignment="0" applyProtection="0"/>
    <xf numFmtId="167" fontId="4" fillId="0" borderId="0" applyFon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1" fillId="23" borderId="17" applyNumberFormat="0" applyAlignment="0" applyProtection="0"/>
    <xf numFmtId="0" fontId="28" fillId="0" borderId="0"/>
    <xf numFmtId="43" fontId="2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2" borderId="0" xfId="0" applyNumberFormat="1" applyFill="1"/>
    <xf numFmtId="3" fontId="1" fillId="2" borderId="0" xfId="0" applyNumberFormat="1" applyFont="1" applyFill="1"/>
    <xf numFmtId="0" fontId="0" fillId="2" borderId="0" xfId="0" applyFill="1" applyBorder="1"/>
    <xf numFmtId="0" fontId="1" fillId="2" borderId="8" xfId="0" applyFont="1" applyFill="1" applyBorder="1"/>
    <xf numFmtId="3" fontId="1" fillId="2" borderId="10" xfId="0" applyNumberFormat="1" applyFont="1" applyFill="1" applyBorder="1"/>
    <xf numFmtId="3" fontId="0" fillId="2" borderId="7" xfId="0" applyNumberFormat="1" applyFill="1" applyBorder="1"/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Fill="1"/>
    <xf numFmtId="0" fontId="0" fillId="0" borderId="6" xfId="0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Fill="1"/>
    <xf numFmtId="0" fontId="3" fillId="0" borderId="0" xfId="93" applyFont="1" applyFill="1" applyBorder="1"/>
    <xf numFmtId="0" fontId="4" fillId="0" borderId="0" xfId="93" applyFill="1"/>
    <xf numFmtId="3" fontId="4" fillId="0" borderId="0" xfId="93" applyNumberFormat="1" applyFill="1"/>
    <xf numFmtId="3" fontId="27" fillId="0" borderId="3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0" fillId="0" borderId="0" xfId="0" applyFill="1" applyAlignment="1">
      <alignment horizontal="right"/>
    </xf>
    <xf numFmtId="3" fontId="2" fillId="0" borderId="25" xfId="1" applyNumberFormat="1" applyFont="1" applyFill="1" applyBorder="1" applyAlignment="1">
      <alignment horizontal="right"/>
    </xf>
    <xf numFmtId="3" fontId="0" fillId="0" borderId="12" xfId="1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3" fontId="0" fillId="2" borderId="25" xfId="0" applyNumberFormat="1" applyFill="1" applyBorder="1" applyAlignment="1">
      <alignment horizontal="right"/>
    </xf>
    <xf numFmtId="3" fontId="0" fillId="2" borderId="27" xfId="0" applyNumberFormat="1" applyFill="1" applyBorder="1" applyAlignment="1">
      <alignment horizontal="right"/>
    </xf>
    <xf numFmtId="3" fontId="1" fillId="2" borderId="25" xfId="1" applyNumberFormat="1" applyFont="1" applyFill="1" applyBorder="1" applyAlignment="1">
      <alignment horizontal="right"/>
    </xf>
    <xf numFmtId="3" fontId="1" fillId="2" borderId="27" xfId="1" applyNumberFormat="1" applyFont="1" applyFill="1" applyBorder="1" applyAlignment="1">
      <alignment horizontal="right"/>
    </xf>
    <xf numFmtId="0" fontId="29" fillId="0" borderId="0" xfId="93" applyFont="1" applyFill="1"/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5" fillId="0" borderId="12" xfId="93" applyNumberFormat="1" applyFont="1" applyFill="1" applyBorder="1"/>
    <xf numFmtId="2" fontId="5" fillId="0" borderId="30" xfId="93" applyNumberFormat="1" applyFont="1" applyFill="1" applyBorder="1"/>
    <xf numFmtId="0" fontId="1" fillId="2" borderId="1" xfId="0" applyFont="1" applyFill="1" applyBorder="1"/>
    <xf numFmtId="3" fontId="0" fillId="2" borderId="25" xfId="0" applyNumberFormat="1" applyFill="1" applyBorder="1"/>
    <xf numFmtId="3" fontId="0" fillId="2" borderId="12" xfId="0" applyNumberFormat="1" applyFill="1" applyBorder="1"/>
    <xf numFmtId="3" fontId="0" fillId="2" borderId="26" xfId="0" applyNumberFormat="1" applyFill="1" applyBorder="1"/>
    <xf numFmtId="3" fontId="0" fillId="2" borderId="30" xfId="0" applyNumberFormat="1" applyFill="1" applyBorder="1"/>
    <xf numFmtId="3" fontId="0" fillId="2" borderId="28" xfId="0" applyNumberFormat="1" applyFill="1" applyBorder="1"/>
    <xf numFmtId="3" fontId="0" fillId="2" borderId="12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26" xfId="0" applyNumberFormat="1" applyFont="1" applyFill="1" applyBorder="1"/>
    <xf numFmtId="3" fontId="1" fillId="2" borderId="33" xfId="0" applyNumberFormat="1" applyFont="1" applyFill="1" applyBorder="1"/>
    <xf numFmtId="3" fontId="0" fillId="2" borderId="12" xfId="0" applyNumberFormat="1" applyFont="1" applyFill="1" applyBorder="1"/>
    <xf numFmtId="3" fontId="0" fillId="2" borderId="26" xfId="0" applyNumberFormat="1" applyFont="1" applyFill="1" applyBorder="1"/>
    <xf numFmtId="3" fontId="1" fillId="2" borderId="30" xfId="0" applyNumberFormat="1" applyFont="1" applyFill="1" applyBorder="1"/>
    <xf numFmtId="3" fontId="0" fillId="0" borderId="12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0" fontId="30" fillId="2" borderId="0" xfId="0" applyFont="1" applyFill="1" applyAlignment="1">
      <alignment horizontal="center"/>
    </xf>
    <xf numFmtId="3" fontId="0" fillId="2" borderId="27" xfId="0" applyNumberFormat="1" applyFont="1" applyFill="1" applyBorder="1"/>
    <xf numFmtId="9" fontId="1" fillId="2" borderId="0" xfId="2" applyFont="1" applyFill="1" applyBorder="1" applyAlignment="1">
      <alignment horizontal="right"/>
    </xf>
    <xf numFmtId="0" fontId="3" fillId="0" borderId="3" xfId="93" applyFont="1" applyFill="1" applyBorder="1" applyAlignment="1">
      <alignment horizontal="left" indent="1"/>
    </xf>
    <xf numFmtId="0" fontId="5" fillId="0" borderId="6" xfId="93" applyFont="1" applyFill="1" applyBorder="1" applyAlignment="1">
      <alignment horizontal="right"/>
    </xf>
    <xf numFmtId="0" fontId="3" fillId="0" borderId="6" xfId="93" applyFont="1" applyFill="1" applyBorder="1" applyAlignment="1">
      <alignment horizontal="left" indent="1"/>
    </xf>
    <xf numFmtId="0" fontId="5" fillId="0" borderId="8" xfId="93" applyFont="1" applyFill="1" applyBorder="1" applyAlignment="1">
      <alignment horizontal="right"/>
    </xf>
    <xf numFmtId="0" fontId="4" fillId="0" borderId="6" xfId="93" applyFont="1" applyFill="1" applyBorder="1"/>
    <xf numFmtId="3" fontId="1" fillId="2" borderId="34" xfId="0" applyNumberFormat="1" applyFont="1" applyFill="1" applyBorder="1" applyAlignment="1">
      <alignment horizontal="right"/>
    </xf>
    <xf numFmtId="3" fontId="1" fillId="2" borderId="12" xfId="1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3" fontId="0" fillId="2" borderId="7" xfId="0" applyNumberFormat="1" applyFont="1" applyFill="1" applyBorder="1"/>
    <xf numFmtId="3" fontId="0" fillId="2" borderId="25" xfId="0" applyNumberFormat="1" applyFont="1" applyFill="1" applyBorder="1"/>
    <xf numFmtId="0" fontId="3" fillId="0" borderId="3" xfId="93" applyFont="1" applyFill="1" applyBorder="1"/>
    <xf numFmtId="0" fontId="3" fillId="0" borderId="6" xfId="93" applyFont="1" applyFill="1" applyBorder="1"/>
    <xf numFmtId="168" fontId="4" fillId="2" borderId="0" xfId="0" applyNumberFormat="1" applyFont="1" applyFill="1" applyBorder="1"/>
    <xf numFmtId="169" fontId="4" fillId="2" borderId="0" xfId="0" applyNumberFormat="1" applyFont="1" applyFill="1" applyBorder="1"/>
    <xf numFmtId="10" fontId="1" fillId="2" borderId="0" xfId="0" applyNumberFormat="1" applyFont="1" applyFill="1" applyBorder="1"/>
    <xf numFmtId="43" fontId="1" fillId="2" borderId="0" xfId="1" applyFont="1" applyFill="1" applyBorder="1" applyAlignment="1">
      <alignment horizontal="right"/>
    </xf>
    <xf numFmtId="0" fontId="5" fillId="0" borderId="6" xfId="93" applyFont="1" applyFill="1" applyBorder="1" applyAlignment="1">
      <alignment horizontal="right" indent="2"/>
    </xf>
    <xf numFmtId="0" fontId="1" fillId="0" borderId="6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4" xfId="0" applyFill="1" applyBorder="1"/>
    <xf numFmtId="0" fontId="1" fillId="0" borderId="8" xfId="0" applyFont="1" applyFill="1" applyBorder="1"/>
    <xf numFmtId="0" fontId="0" fillId="0" borderId="9" xfId="0" applyFill="1" applyBorder="1"/>
    <xf numFmtId="14" fontId="0" fillId="0" borderId="0" xfId="0" applyNumberFormat="1" applyFill="1" applyBorder="1"/>
    <xf numFmtId="0" fontId="0" fillId="0" borderId="1" xfId="0" applyFill="1" applyBorder="1"/>
    <xf numFmtId="0" fontId="0" fillId="0" borderId="2" xfId="0" applyFill="1" applyBorder="1"/>
    <xf numFmtId="0" fontId="3" fillId="0" borderId="6" xfId="93" applyFont="1" applyFill="1" applyBorder="1" applyAlignment="1">
      <alignment horizontal="left"/>
    </xf>
    <xf numFmtId="3" fontId="3" fillId="0" borderId="27" xfId="93" applyNumberFormat="1" applyFont="1" applyFill="1" applyBorder="1"/>
    <xf numFmtId="3" fontId="5" fillId="0" borderId="30" xfId="93" applyNumberFormat="1" applyFont="1" applyFill="1" applyBorder="1"/>
    <xf numFmtId="3" fontId="3" fillId="0" borderId="30" xfId="93" applyNumberFormat="1" applyFont="1" applyFill="1" applyBorder="1"/>
    <xf numFmtId="3" fontId="4" fillId="0" borderId="30" xfId="93" applyNumberFormat="1" applyFill="1" applyBorder="1"/>
    <xf numFmtId="2" fontId="3" fillId="0" borderId="30" xfId="93" applyNumberFormat="1" applyFont="1" applyFill="1" applyBorder="1"/>
    <xf numFmtId="0" fontId="3" fillId="27" borderId="1" xfId="93" applyFont="1" applyFill="1" applyBorder="1" applyAlignment="1">
      <alignment horizontal="left" indent="1"/>
    </xf>
    <xf numFmtId="3" fontId="3" fillId="27" borderId="13" xfId="93" applyNumberFormat="1" applyFont="1" applyFill="1" applyBorder="1"/>
    <xf numFmtId="3" fontId="3" fillId="27" borderId="29" xfId="93" applyNumberFormat="1" applyFont="1" applyFill="1" applyBorder="1"/>
    <xf numFmtId="0" fontId="3" fillId="0" borderId="8" xfId="93" applyFont="1" applyFill="1" applyBorder="1"/>
    <xf numFmtId="3" fontId="5" fillId="0" borderId="12" xfId="93" applyNumberFormat="1" applyFont="1" applyFill="1" applyBorder="1"/>
    <xf numFmtId="3" fontId="3" fillId="0" borderId="12" xfId="93" applyNumberFormat="1" applyFont="1" applyFill="1" applyBorder="1"/>
    <xf numFmtId="2" fontId="3" fillId="0" borderId="12" xfId="93" applyNumberFormat="1" applyFont="1" applyFill="1" applyBorder="1"/>
    <xf numFmtId="3" fontId="3" fillId="0" borderId="25" xfId="93" applyNumberFormat="1" applyFont="1" applyFill="1" applyBorder="1"/>
    <xf numFmtId="3" fontId="4" fillId="0" borderId="12" xfId="93" applyNumberFormat="1" applyFill="1" applyBorder="1"/>
    <xf numFmtId="3" fontId="3" fillId="27" borderId="25" xfId="93" applyNumberFormat="1" applyFont="1" applyFill="1" applyBorder="1"/>
    <xf numFmtId="3" fontId="4" fillId="0" borderId="12" xfId="93" applyNumberFormat="1" applyFont="1" applyFill="1" applyBorder="1"/>
    <xf numFmtId="0" fontId="4" fillId="0" borderId="12" xfId="93" applyFill="1" applyBorder="1"/>
    <xf numFmtId="3" fontId="5" fillId="0" borderId="26" xfId="93" applyNumberFormat="1" applyFont="1" applyFill="1" applyBorder="1"/>
    <xf numFmtId="0" fontId="5" fillId="0" borderId="0" xfId="93" applyFont="1" applyFill="1"/>
    <xf numFmtId="3" fontId="3" fillId="26" borderId="29" xfId="93" applyNumberFormat="1" applyFont="1" applyFill="1" applyBorder="1"/>
    <xf numFmtId="3" fontId="3" fillId="26" borderId="13" xfId="93" applyNumberFormat="1" applyFont="1" applyFill="1" applyBorder="1"/>
    <xf numFmtId="0" fontId="0" fillId="0" borderId="8" xfId="0" applyBorder="1"/>
    <xf numFmtId="0" fontId="4" fillId="0" borderId="6" xfId="93" applyFill="1" applyBorder="1" applyAlignment="1">
      <alignment horizontal="left" indent="2"/>
    </xf>
    <xf numFmtId="0" fontId="31" fillId="0" borderId="0" xfId="93" applyFont="1" applyFill="1"/>
    <xf numFmtId="3" fontId="0" fillId="2" borderId="30" xfId="0" applyNumberFormat="1" applyFont="1" applyFill="1" applyBorder="1"/>
    <xf numFmtId="3" fontId="0" fillId="2" borderId="28" xfId="0" applyNumberFormat="1" applyFont="1" applyFill="1" applyBorder="1"/>
    <xf numFmtId="164" fontId="26" fillId="0" borderId="3" xfId="0" applyNumberFormat="1" applyFont="1" applyFill="1" applyBorder="1"/>
    <xf numFmtId="164" fontId="27" fillId="0" borderId="6" xfId="0" applyNumberFormat="1" applyFont="1" applyFill="1" applyBorder="1"/>
    <xf numFmtId="164" fontId="27" fillId="0" borderId="8" xfId="0" applyNumberFormat="1" applyFont="1" applyFill="1" applyBorder="1"/>
    <xf numFmtId="3" fontId="5" fillId="0" borderId="0" xfId="93" applyNumberFormat="1" applyFont="1" applyFill="1"/>
    <xf numFmtId="0" fontId="5" fillId="0" borderId="0" xfId="93" applyFont="1" applyFill="1" applyAlignment="1">
      <alignment horizontal="center"/>
    </xf>
    <xf numFmtId="0" fontId="5" fillId="0" borderId="0" xfId="93" applyFont="1" applyFill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0" fillId="2" borderId="12" xfId="1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10" xfId="1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left"/>
    </xf>
    <xf numFmtId="0" fontId="0" fillId="0" borderId="0" xfId="0" applyBorder="1"/>
    <xf numFmtId="3" fontId="1" fillId="2" borderId="26" xfId="1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0" fontId="0" fillId="0" borderId="6" xfId="0" applyFill="1" applyBorder="1"/>
    <xf numFmtId="3" fontId="5" fillId="0" borderId="28" xfId="93" applyNumberFormat="1" applyFont="1" applyFill="1" applyBorder="1"/>
    <xf numFmtId="0" fontId="3" fillId="0" borderId="0" xfId="93" applyFont="1" applyFill="1"/>
    <xf numFmtId="3" fontId="0" fillId="2" borderId="27" xfId="0" applyNumberFormat="1" applyFill="1" applyBorder="1"/>
    <xf numFmtId="0" fontId="3" fillId="27" borderId="3" xfId="93" applyFont="1" applyFill="1" applyBorder="1" applyAlignment="1">
      <alignment horizontal="left" indent="1"/>
    </xf>
    <xf numFmtId="3" fontId="0" fillId="0" borderId="30" xfId="1" applyNumberFormat="1" applyFont="1" applyFill="1" applyBorder="1" applyAlignment="1">
      <alignment horizontal="right"/>
    </xf>
    <xf numFmtId="3" fontId="0" fillId="2" borderId="30" xfId="1" applyNumberFormat="1" applyFont="1" applyFill="1" applyBorder="1" applyAlignment="1">
      <alignment horizontal="right"/>
    </xf>
    <xf numFmtId="0" fontId="5" fillId="0" borderId="6" xfId="93" applyFont="1" applyFill="1" applyBorder="1" applyAlignment="1">
      <alignment horizontal="left" indent="2"/>
    </xf>
    <xf numFmtId="0" fontId="3" fillId="27" borderId="11" xfId="93" applyFont="1" applyFill="1" applyBorder="1" applyAlignment="1">
      <alignment horizontal="left" indent="1"/>
    </xf>
    <xf numFmtId="0" fontId="3" fillId="0" borderId="6" xfId="93" applyFont="1" applyFill="1" applyBorder="1" applyAlignment="1">
      <alignment horizontal="left" indent="2"/>
    </xf>
    <xf numFmtId="0" fontId="4" fillId="0" borderId="0" xfId="93" applyFill="1" applyBorder="1"/>
    <xf numFmtId="3" fontId="4" fillId="0" borderId="30" xfId="93" applyNumberFormat="1" applyFont="1" applyFill="1" applyBorder="1"/>
    <xf numFmtId="3" fontId="3" fillId="27" borderId="27" xfId="93" applyNumberFormat="1" applyFont="1" applyFill="1" applyBorder="1"/>
    <xf numFmtId="3" fontId="3" fillId="27" borderId="36" xfId="93" applyNumberFormat="1" applyFont="1" applyFill="1" applyBorder="1"/>
    <xf numFmtId="3" fontId="3" fillId="26" borderId="36" xfId="93" applyNumberFormat="1" applyFont="1" applyFill="1" applyBorder="1"/>
    <xf numFmtId="0" fontId="3" fillId="27" borderId="24" xfId="93" applyFont="1" applyFill="1" applyBorder="1" applyAlignment="1">
      <alignment horizontal="left"/>
    </xf>
    <xf numFmtId="0" fontId="1" fillId="27" borderId="24" xfId="0" applyFont="1" applyFill="1" applyBorder="1"/>
    <xf numFmtId="0" fontId="1" fillId="26" borderId="24" xfId="0" applyFont="1" applyFill="1" applyBorder="1"/>
    <xf numFmtId="0" fontId="1" fillId="2" borderId="6" xfId="0" applyFont="1" applyFill="1" applyBorder="1"/>
    <xf numFmtId="3" fontId="1" fillId="2" borderId="29" xfId="0" applyNumberFormat="1" applyFont="1" applyFill="1" applyBorder="1"/>
    <xf numFmtId="3" fontId="1" fillId="2" borderId="13" xfId="0" applyNumberFormat="1" applyFont="1" applyFill="1" applyBorder="1"/>
    <xf numFmtId="170" fontId="0" fillId="2" borderId="12" xfId="1" applyNumberFormat="1" applyFont="1" applyFill="1" applyBorder="1"/>
    <xf numFmtId="0" fontId="0" fillId="2" borderId="32" xfId="0" applyFill="1" applyBorder="1"/>
    <xf numFmtId="170" fontId="0" fillId="2" borderId="30" xfId="1" applyNumberFormat="1" applyFont="1" applyFill="1" applyBorder="1"/>
    <xf numFmtId="0" fontId="0" fillId="2" borderId="33" xfId="0" applyFill="1" applyBorder="1"/>
    <xf numFmtId="170" fontId="0" fillId="2" borderId="26" xfId="1" applyNumberFormat="1" applyFont="1" applyFill="1" applyBorder="1"/>
    <xf numFmtId="3" fontId="2" fillId="0" borderId="27" xfId="1" applyNumberFormat="1" applyFont="1" applyFill="1" applyBorder="1" applyAlignment="1">
      <alignment horizontal="right"/>
    </xf>
    <xf numFmtId="0" fontId="0" fillId="0" borderId="35" xfId="0" applyBorder="1" applyAlignment="1">
      <alignment horizontal="center"/>
    </xf>
    <xf numFmtId="3" fontId="0" fillId="0" borderId="27" xfId="0" applyNumberFormat="1" applyBorder="1"/>
    <xf numFmtId="3" fontId="0" fillId="0" borderId="30" xfId="0" applyNumberFormat="1" applyBorder="1"/>
    <xf numFmtId="0" fontId="0" fillId="0" borderId="30" xfId="0" applyBorder="1"/>
    <xf numFmtId="3" fontId="0" fillId="0" borderId="28" xfId="0" applyNumberFormat="1" applyBorder="1"/>
    <xf numFmtId="3" fontId="0" fillId="0" borderId="11" xfId="0" applyNumberFormat="1" applyBorder="1"/>
    <xf numFmtId="0" fontId="3" fillId="27" borderId="6" xfId="93" applyFont="1" applyFill="1" applyBorder="1" applyAlignment="1">
      <alignment horizontal="left" indent="1"/>
    </xf>
    <xf numFmtId="3" fontId="3" fillId="27" borderId="12" xfId="93" applyNumberFormat="1" applyFont="1" applyFill="1" applyBorder="1"/>
    <xf numFmtId="3" fontId="3" fillId="27" borderId="30" xfId="93" applyNumberFormat="1" applyFont="1" applyFill="1" applyBorder="1"/>
    <xf numFmtId="0" fontId="5" fillId="0" borderId="8" xfId="93" applyFont="1" applyFill="1" applyBorder="1" applyAlignment="1">
      <alignment horizontal="left" indent="2"/>
    </xf>
    <xf numFmtId="3" fontId="4" fillId="0" borderId="26" xfId="93" applyNumberFormat="1" applyFill="1" applyBorder="1"/>
    <xf numFmtId="3" fontId="4" fillId="0" borderId="28" xfId="93" applyNumberFormat="1" applyFill="1" applyBorder="1"/>
    <xf numFmtId="0" fontId="4" fillId="0" borderId="0" xfId="93" applyFill="1" applyBorder="1" applyAlignment="1">
      <alignment horizontal="center"/>
    </xf>
    <xf numFmtId="0" fontId="4" fillId="0" borderId="30" xfId="93" applyFill="1" applyBorder="1"/>
    <xf numFmtId="0" fontId="4" fillId="0" borderId="26" xfId="93" applyFill="1" applyBorder="1"/>
    <xf numFmtId="0" fontId="4" fillId="0" borderId="28" xfId="93" applyFill="1" applyBorder="1"/>
    <xf numFmtId="0" fontId="32" fillId="0" borderId="0" xfId="0" applyFont="1" applyFill="1"/>
    <xf numFmtId="0" fontId="32" fillId="0" borderId="0" xfId="0" applyFont="1"/>
    <xf numFmtId="0" fontId="33" fillId="0" borderId="0" xfId="0" applyFont="1"/>
    <xf numFmtId="3" fontId="32" fillId="0" borderId="0" xfId="0" applyNumberFormat="1" applyFont="1" applyFill="1"/>
    <xf numFmtId="0" fontId="0" fillId="2" borderId="12" xfId="0" applyFont="1" applyFill="1" applyBorder="1"/>
    <xf numFmtId="0" fontId="0" fillId="2" borderId="30" xfId="0" applyFont="1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9" fontId="5" fillId="0" borderId="0" xfId="93" applyNumberFormat="1" applyFont="1" applyFill="1"/>
    <xf numFmtId="170" fontId="4" fillId="2" borderId="25" xfId="1" applyNumberFormat="1" applyFont="1" applyFill="1" applyBorder="1"/>
    <xf numFmtId="170" fontId="4" fillId="2" borderId="27" xfId="1" applyNumberFormat="1" applyFont="1" applyFill="1" applyBorder="1"/>
    <xf numFmtId="170" fontId="4" fillId="2" borderId="12" xfId="1" applyNumberFormat="1" applyFont="1" applyFill="1" applyBorder="1"/>
    <xf numFmtId="170" fontId="4" fillId="2" borderId="30" xfId="1" applyNumberFormat="1" applyFont="1" applyFill="1" applyBorder="1"/>
    <xf numFmtId="0" fontId="5" fillId="2" borderId="3" xfId="93" applyFont="1" applyFill="1" applyBorder="1" applyAlignment="1"/>
    <xf numFmtId="0" fontId="5" fillId="2" borderId="6" xfId="93" applyFont="1" applyFill="1" applyBorder="1" applyAlignment="1"/>
    <xf numFmtId="0" fontId="5" fillId="2" borderId="8" xfId="93" applyFont="1" applyFill="1" applyBorder="1" applyAlignment="1"/>
    <xf numFmtId="170" fontId="4" fillId="2" borderId="26" xfId="1" applyNumberFormat="1" applyFont="1" applyFill="1" applyBorder="1"/>
    <xf numFmtId="170" fontId="4" fillId="2" borderId="28" xfId="1" applyNumberFormat="1" applyFont="1" applyFill="1" applyBorder="1"/>
    <xf numFmtId="170" fontId="0" fillId="2" borderId="35" xfId="0" applyNumberFormat="1" applyFill="1" applyBorder="1"/>
    <xf numFmtId="170" fontId="0" fillId="2" borderId="37" xfId="0" applyNumberFormat="1" applyFill="1" applyBorder="1"/>
    <xf numFmtId="170" fontId="0" fillId="2" borderId="38" xfId="0" applyNumberFormat="1" applyFill="1" applyBorder="1"/>
    <xf numFmtId="171" fontId="5" fillId="0" borderId="0" xfId="1" applyNumberFormat="1" applyFont="1" applyFill="1" applyBorder="1" applyAlignment="1">
      <alignment horizontal="right" indent="2"/>
    </xf>
    <xf numFmtId="0" fontId="1" fillId="0" borderId="4" xfId="0" applyFont="1" applyFill="1" applyBorder="1"/>
    <xf numFmtId="0" fontId="1" fillId="0" borderId="9" xfId="0" applyFont="1" applyFill="1" applyBorder="1"/>
    <xf numFmtId="168" fontId="4" fillId="0" borderId="27" xfId="0" applyNumberFormat="1" applyFont="1" applyFill="1" applyBorder="1"/>
    <xf numFmtId="169" fontId="4" fillId="0" borderId="30" xfId="0" applyNumberFormat="1" applyFont="1" applyFill="1" applyBorder="1"/>
    <xf numFmtId="168" fontId="4" fillId="0" borderId="30" xfId="0" applyNumberFormat="1" applyFont="1" applyFill="1" applyBorder="1"/>
    <xf numFmtId="168" fontId="3" fillId="0" borderId="28" xfId="0" applyNumberFormat="1" applyFont="1" applyFill="1" applyBorder="1"/>
    <xf numFmtId="9" fontId="1" fillId="0" borderId="30" xfId="0" applyNumberFormat="1" applyFont="1" applyFill="1" applyBorder="1"/>
    <xf numFmtId="14" fontId="0" fillId="0" borderId="30" xfId="0" applyNumberFormat="1" applyFill="1" applyBorder="1"/>
    <xf numFmtId="14" fontId="0" fillId="0" borderId="28" xfId="0" applyNumberFormat="1" applyFill="1" applyBorder="1"/>
    <xf numFmtId="9" fontId="0" fillId="0" borderId="13" xfId="2" applyFont="1" applyFill="1" applyBorder="1"/>
    <xf numFmtId="164" fontId="26" fillId="0" borderId="6" xfId="0" applyNumberFormat="1" applyFont="1" applyFill="1" applyBorder="1"/>
    <xf numFmtId="0" fontId="4" fillId="0" borderId="3" xfId="93" applyFont="1" applyFill="1" applyBorder="1"/>
    <xf numFmtId="3" fontId="0" fillId="2" borderId="25" xfId="1" applyNumberFormat="1" applyFont="1" applyFill="1" applyBorder="1" applyAlignment="1">
      <alignment horizontal="right"/>
    </xf>
    <xf numFmtId="3" fontId="0" fillId="2" borderId="27" xfId="1" applyNumberFormat="1" applyFont="1" applyFill="1" applyBorder="1" applyAlignment="1">
      <alignment horizontal="right"/>
    </xf>
    <xf numFmtId="3" fontId="1" fillId="2" borderId="30" xfId="1" applyNumberFormat="1" applyFont="1" applyFill="1" applyBorder="1" applyAlignment="1">
      <alignment horizontal="right"/>
    </xf>
    <xf numFmtId="172" fontId="32" fillId="0" borderId="12" xfId="0" applyNumberFormat="1" applyFont="1" applyBorder="1" applyAlignment="1">
      <alignment horizontal="right"/>
    </xf>
    <xf numFmtId="172" fontId="32" fillId="0" borderId="30" xfId="0" applyNumberFormat="1" applyFont="1" applyBorder="1" applyAlignment="1">
      <alignment horizontal="right"/>
    </xf>
    <xf numFmtId="3" fontId="1" fillId="2" borderId="28" xfId="1" applyNumberFormat="1" applyFont="1" applyFill="1" applyBorder="1" applyAlignment="1">
      <alignment horizontal="right"/>
    </xf>
    <xf numFmtId="0" fontId="34" fillId="0" borderId="12" xfId="0" applyFont="1" applyBorder="1" applyAlignment="1">
      <alignment horizontal="right"/>
    </xf>
    <xf numFmtId="43" fontId="4" fillId="0" borderId="0" xfId="93" applyNumberFormat="1" applyFill="1"/>
    <xf numFmtId="2" fontId="5" fillId="0" borderId="26" xfId="93" applyNumberFormat="1" applyFont="1" applyFill="1" applyBorder="1"/>
    <xf numFmtId="2" fontId="5" fillId="0" borderId="28" xfId="93" applyNumberFormat="1" applyFont="1" applyFill="1" applyBorder="1"/>
    <xf numFmtId="0" fontId="34" fillId="0" borderId="30" xfId="0" applyFont="1" applyBorder="1" applyAlignment="1">
      <alignment horizontal="right"/>
    </xf>
    <xf numFmtId="0" fontId="4" fillId="0" borderId="32" xfId="93" applyFill="1" applyBorder="1"/>
    <xf numFmtId="0" fontId="4" fillId="0" borderId="33" xfId="93" applyFill="1" applyBorder="1"/>
    <xf numFmtId="173" fontId="4" fillId="0" borderId="12" xfId="93" applyNumberFormat="1" applyFill="1" applyBorder="1"/>
    <xf numFmtId="173" fontId="4" fillId="0" borderId="30" xfId="93" applyNumberFormat="1" applyFill="1" applyBorder="1"/>
    <xf numFmtId="173" fontId="4" fillId="0" borderId="0" xfId="93" applyNumberFormat="1" applyFill="1"/>
    <xf numFmtId="2" fontId="4" fillId="0" borderId="0" xfId="93" applyNumberFormat="1" applyFill="1"/>
    <xf numFmtId="170" fontId="0" fillId="2" borderId="0" xfId="0" applyNumberFormat="1" applyFill="1"/>
    <xf numFmtId="9" fontId="0" fillId="2" borderId="0" xfId="2" applyFont="1" applyFill="1"/>
    <xf numFmtId="3" fontId="3" fillId="27" borderId="24" xfId="93" applyNumberFormat="1" applyFont="1" applyFill="1" applyBorder="1"/>
    <xf numFmtId="3" fontId="0" fillId="2" borderId="31" xfId="0" applyNumberFormat="1" applyFill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0" fontId="1" fillId="2" borderId="3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31" xfId="0" applyFill="1" applyBorder="1"/>
    <xf numFmtId="170" fontId="0" fillId="2" borderId="25" xfId="1" applyNumberFormat="1" applyFont="1" applyFill="1" applyBorder="1"/>
    <xf numFmtId="170" fontId="0" fillId="2" borderId="27" xfId="1" applyNumberFormat="1" applyFont="1" applyFill="1" applyBorder="1"/>
    <xf numFmtId="0" fontId="5" fillId="0" borderId="35" xfId="93" applyFont="1" applyFill="1" applyBorder="1" applyAlignment="1">
      <alignment horizontal="right"/>
    </xf>
    <xf numFmtId="0" fontId="5" fillId="0" borderId="37" xfId="93" applyFont="1" applyFill="1" applyBorder="1" applyAlignment="1">
      <alignment horizontal="right"/>
    </xf>
    <xf numFmtId="0" fontId="5" fillId="0" borderId="38" xfId="93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0" xfId="0" applyNumberFormat="1"/>
  </cellXfs>
  <cellStyles count="9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ad" xfId="52"/>
    <cellStyle name="Berechnung" xfId="53"/>
    <cellStyle name="Calculation" xfId="54"/>
    <cellStyle name="Check Cell" xfId="55"/>
    <cellStyle name="Dezimal_Finanzplanung 1-2-3family_V5.0" xfId="56"/>
    <cellStyle name="Dziesiętny_Cost Center Template" xfId="57"/>
    <cellStyle name="Eingabe" xfId="58"/>
    <cellStyle name="Ergebnis" xfId="59"/>
    <cellStyle name="Erklärender Text" xfId="60"/>
    <cellStyle name="Euro" xfId="61"/>
    <cellStyle name="Explanatory Text" xfId="62"/>
    <cellStyle name="Good" xfId="63"/>
    <cellStyle name="Gut" xfId="64"/>
    <cellStyle name="Heading 1" xfId="65"/>
    <cellStyle name="Heading 2" xfId="66"/>
    <cellStyle name="Heading 3" xfId="67"/>
    <cellStyle name="Heading 4" xfId="68"/>
    <cellStyle name="Linked Cell" xfId="69"/>
    <cellStyle name="Millares" xfId="1" builtinId="3"/>
    <cellStyle name="Millares 2" xfId="92"/>
    <cellStyle name="Millares 3" xfId="94"/>
    <cellStyle name="Normal" xfId="0" builtinId="0"/>
    <cellStyle name="Normal 2" xfId="70"/>
    <cellStyle name="Normal 2 2" xfId="71"/>
    <cellStyle name="Normal 2 3" xfId="72"/>
    <cellStyle name="Normal 3" xfId="73"/>
    <cellStyle name="Normal 4" xfId="91"/>
    <cellStyle name="Normal 5" xfId="93"/>
    <cellStyle name="Normalny_Cost Center Template" xfId="74"/>
    <cellStyle name="Note" xfId="75"/>
    <cellStyle name="Note 2" xfId="76"/>
    <cellStyle name="Notiz" xfId="77"/>
    <cellStyle name="Porcentaje" xfId="2" builtinId="5"/>
    <cellStyle name="Porcentual 2" xfId="95"/>
    <cellStyle name="Schlecht" xfId="78"/>
    <cellStyle name="Style 1" xfId="79"/>
    <cellStyle name="Title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Walutowy_Cost Center Template" xfId="87"/>
    <cellStyle name="Warnender Text" xfId="88"/>
    <cellStyle name="Warning Text" xfId="89"/>
    <cellStyle name="Zelle überprüfen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opLeftCell="B10" zoomScaleNormal="100" workbookViewId="0">
      <selection activeCell="J19" sqref="J19"/>
    </sheetView>
  </sheetViews>
  <sheetFormatPr baseColWidth="10" defaultRowHeight="15"/>
  <cols>
    <col min="1" max="1" width="47" bestFit="1" customWidth="1"/>
    <col min="2" max="4" width="13" style="16" bestFit="1" customWidth="1"/>
    <col min="5" max="5" width="12" style="16" bestFit="1" customWidth="1"/>
    <col min="7" max="7" width="17.140625" bestFit="1" customWidth="1"/>
  </cols>
  <sheetData>
    <row r="1" spans="1:10">
      <c r="A1" s="14"/>
      <c r="B1" s="24"/>
    </row>
    <row r="2" spans="1:10" ht="15.75" thickBot="1">
      <c r="A2" s="14"/>
      <c r="B2" s="18"/>
      <c r="C2"/>
      <c r="D2"/>
      <c r="E2"/>
    </row>
    <row r="3" spans="1:10" ht="15.75" thickBot="1">
      <c r="B3" s="35">
        <v>1</v>
      </c>
      <c r="C3" s="36">
        <v>2</v>
      </c>
      <c r="D3" s="36">
        <v>3</v>
      </c>
      <c r="E3" s="37">
        <v>4</v>
      </c>
      <c r="F3" s="18"/>
    </row>
    <row r="4" spans="1:10">
      <c r="A4" s="113" t="s">
        <v>110</v>
      </c>
      <c r="B4" s="25">
        <v>1200</v>
      </c>
      <c r="C4" s="25">
        <v>500</v>
      </c>
      <c r="D4" s="25">
        <v>1200</v>
      </c>
      <c r="E4" s="153">
        <v>500</v>
      </c>
      <c r="F4" s="18"/>
    </row>
    <row r="5" spans="1:10">
      <c r="A5" s="203" t="s">
        <v>76</v>
      </c>
      <c r="B5" s="26">
        <f>F5*'P&amp;L-city'!H48</f>
        <v>2000</v>
      </c>
      <c r="C5" s="26">
        <f>F5*('P&amp;L-city'!I48-'P&amp;L-city'!H48)</f>
        <v>500</v>
      </c>
      <c r="D5" s="26">
        <f>F5*'P&amp;L-city'!J48</f>
        <v>3500</v>
      </c>
      <c r="E5" s="132">
        <f>F5*('P&amp;L-city'!K48-'P&amp;L-city'!J48)</f>
        <v>0</v>
      </c>
      <c r="F5" s="170">
        <v>500</v>
      </c>
      <c r="G5" s="171" t="s">
        <v>108</v>
      </c>
    </row>
    <row r="6" spans="1:10">
      <c r="A6" s="203" t="s">
        <v>148</v>
      </c>
      <c r="B6" s="26">
        <f>$F$6*'P&amp;L-city'!B30</f>
        <v>1800</v>
      </c>
      <c r="C6" s="26">
        <f>$F$6*'P&amp;L-city'!C30-B6</f>
        <v>900</v>
      </c>
      <c r="D6" s="26">
        <f>$F$6*'P&amp;L-city'!D30</f>
        <v>3600</v>
      </c>
      <c r="E6" s="132">
        <f>$F$6*'P&amp;L-city'!E30-D6</f>
        <v>900</v>
      </c>
      <c r="F6" s="170">
        <v>300</v>
      </c>
      <c r="G6" s="171" t="s">
        <v>108</v>
      </c>
    </row>
    <row r="7" spans="1:10">
      <c r="A7" s="203" t="s">
        <v>77</v>
      </c>
      <c r="B7" s="26">
        <f>$F$7*B8</f>
        <v>5000</v>
      </c>
      <c r="C7" s="26">
        <f>$F$7*C8-B7</f>
        <v>10000</v>
      </c>
      <c r="D7" s="26">
        <f>$F$7*D8-C7-B7</f>
        <v>10000</v>
      </c>
      <c r="E7" s="132">
        <f>$F$7*E8-D7-C7-B7</f>
        <v>7500</v>
      </c>
      <c r="F7" s="170">
        <v>2500</v>
      </c>
      <c r="G7" s="171" t="s">
        <v>132</v>
      </c>
    </row>
    <row r="8" spans="1:10">
      <c r="A8" s="60" t="s">
        <v>131</v>
      </c>
      <c r="B8" s="211">
        <f>+ROUNDUP(('P&amp;L-city'!B11*'P&amp;L-city'!B5)/4/6,0)</f>
        <v>2</v>
      </c>
      <c r="C8" s="211">
        <f>+ROUNDUP(('P&amp;L-city'!C11*'P&amp;L-city'!C5)/4/6,0)</f>
        <v>6</v>
      </c>
      <c r="D8" s="211">
        <f>+ROUNDUP(('P&amp;L-city'!D11*'P&amp;L-city'!D5)/4/6,0)</f>
        <v>10</v>
      </c>
      <c r="E8" s="215">
        <f>+ROUNDUP(('P&amp;L-city'!E11*'P&amp;L-city'!E5)/4/6,0)</f>
        <v>13</v>
      </c>
      <c r="F8" s="171" t="s">
        <v>133</v>
      </c>
    </row>
    <row r="9" spans="1:10">
      <c r="A9" s="203" t="s">
        <v>137</v>
      </c>
      <c r="B9" s="26">
        <f>+$F$9*B10</f>
        <v>1100</v>
      </c>
      <c r="C9" s="26">
        <f>+$F$9*C10-B9</f>
        <v>1100</v>
      </c>
      <c r="D9" s="26">
        <f>+$F$9*D10-C9-B9</f>
        <v>1100</v>
      </c>
      <c r="E9" s="132">
        <f>+$F$9*E10-D9-C9-B9</f>
        <v>1100</v>
      </c>
      <c r="F9" s="171">
        <v>1100</v>
      </c>
      <c r="G9" s="171" t="s">
        <v>138</v>
      </c>
    </row>
    <row r="10" spans="1:10" ht="15.75" thickBot="1">
      <c r="A10" s="60" t="s">
        <v>150</v>
      </c>
      <c r="B10" s="211">
        <f>+ROUNDUP(B8/4,0)</f>
        <v>1</v>
      </c>
      <c r="C10" s="211">
        <f>+ROUNDUP(C8/4,0)</f>
        <v>2</v>
      </c>
      <c r="D10" s="211">
        <f>+ROUNDUP(D8/4,0)</f>
        <v>3</v>
      </c>
      <c r="E10" s="215">
        <f>+ROUNDUP(E8/4,0)</f>
        <v>4</v>
      </c>
      <c r="F10" s="171" t="s">
        <v>149</v>
      </c>
    </row>
    <row r="11" spans="1:10">
      <c r="A11" s="22" t="s">
        <v>90</v>
      </c>
      <c r="B11" s="32">
        <f>B4+B5+B9+B7+B6</f>
        <v>11100</v>
      </c>
      <c r="C11" s="32">
        <f>C4+C5+C9+C7+C6</f>
        <v>13000</v>
      </c>
      <c r="D11" s="32">
        <f>D4+D5+D9+D7+D6</f>
        <v>19400</v>
      </c>
      <c r="E11" s="33">
        <f>E4+E5+E9+E7+E6</f>
        <v>10000</v>
      </c>
      <c r="F11" s="170"/>
      <c r="G11" s="171"/>
    </row>
    <row r="12" spans="1:10">
      <c r="A12" s="114" t="s">
        <v>91</v>
      </c>
      <c r="B12" s="66">
        <f>+(B11)/4</f>
        <v>2775</v>
      </c>
      <c r="C12" s="66">
        <f>SUM(B11:C11)/4</f>
        <v>6025</v>
      </c>
      <c r="D12" s="66">
        <f>SUM(B11:D11)/4</f>
        <v>10875</v>
      </c>
      <c r="E12" s="119">
        <f>SUM(B11:E11)/4</f>
        <v>13375</v>
      </c>
      <c r="F12" s="170" t="s">
        <v>107</v>
      </c>
      <c r="G12" s="171"/>
    </row>
    <row r="13" spans="1:10">
      <c r="A13" s="114" t="s">
        <v>92</v>
      </c>
      <c r="B13" s="66">
        <f>+B11</f>
        <v>11100</v>
      </c>
      <c r="C13" s="66">
        <f t="shared" ref="C13:E14" si="0">+C11+B13</f>
        <v>24100</v>
      </c>
      <c r="D13" s="66">
        <f t="shared" si="0"/>
        <v>43500</v>
      </c>
      <c r="E13" s="119">
        <f t="shared" si="0"/>
        <v>53500</v>
      </c>
      <c r="F13" s="170"/>
      <c r="G13" s="171"/>
    </row>
    <row r="14" spans="1:10" ht="15.75" thickBot="1">
      <c r="A14" s="115" t="s">
        <v>93</v>
      </c>
      <c r="B14" s="125">
        <f>+B12</f>
        <v>2775</v>
      </c>
      <c r="C14" s="125">
        <f t="shared" si="0"/>
        <v>8800</v>
      </c>
      <c r="D14" s="125">
        <f t="shared" si="0"/>
        <v>19675</v>
      </c>
      <c r="E14" s="122">
        <f t="shared" si="0"/>
        <v>33050</v>
      </c>
      <c r="F14" s="170"/>
      <c r="G14" s="171"/>
    </row>
    <row r="15" spans="1:10" ht="15.75" thickBot="1">
      <c r="A15" s="113" t="s">
        <v>104</v>
      </c>
      <c r="B15" s="126">
        <v>12000</v>
      </c>
      <c r="C15" s="126">
        <v>0</v>
      </c>
      <c r="D15" s="126">
        <v>0</v>
      </c>
      <c r="E15" s="121">
        <v>0</v>
      </c>
      <c r="F15" s="170"/>
      <c r="G15" s="172"/>
      <c r="H15" s="241" t="s">
        <v>162</v>
      </c>
      <c r="I15" s="242"/>
      <c r="J15" s="240" t="s">
        <v>163</v>
      </c>
    </row>
    <row r="16" spans="1:10" ht="15.75" thickBot="1">
      <c r="A16" s="114" t="s">
        <v>88</v>
      </c>
      <c r="B16" s="66">
        <f>+B15/5</f>
        <v>2400</v>
      </c>
      <c r="C16" s="66">
        <f>+B16</f>
        <v>2400</v>
      </c>
      <c r="D16" s="66">
        <f t="shared" ref="D16:E16" si="1">+C16</f>
        <v>2400</v>
      </c>
      <c r="E16" s="119">
        <f t="shared" si="1"/>
        <v>2400</v>
      </c>
      <c r="F16" s="170" t="s">
        <v>106</v>
      </c>
      <c r="G16" s="172"/>
    </row>
    <row r="17" spans="1:10" ht="15.75" thickBot="1">
      <c r="A17" s="114" t="s">
        <v>89</v>
      </c>
      <c r="B17" s="66">
        <f>+B16</f>
        <v>2400</v>
      </c>
      <c r="C17" s="66">
        <f>+C16+B17</f>
        <v>4800</v>
      </c>
      <c r="D17" s="66">
        <f t="shared" ref="D17:E17" si="2">+D16+C17</f>
        <v>7200</v>
      </c>
      <c r="E17" s="119">
        <f t="shared" si="2"/>
        <v>9600</v>
      </c>
      <c r="F17" s="170"/>
      <c r="G17" s="172"/>
      <c r="I17" s="154" t="s">
        <v>105</v>
      </c>
    </row>
    <row r="18" spans="1:10">
      <c r="A18" s="204" t="s">
        <v>97</v>
      </c>
      <c r="B18" s="205">
        <f>'P&amp;L-city'!B5*($I$18+$I$19+$I$20+$I$21+$I$22+$I$23+$I$24)</f>
        <v>619500</v>
      </c>
      <c r="C18" s="205">
        <f>'P&amp;L-city'!C5*($I$18+$I$19+$I$20+$I$21+$I$22+$I$23+$I$24)-B18</f>
        <v>413000</v>
      </c>
      <c r="D18" s="205">
        <f>'P&amp;L-city'!D5*($I$18+$I$19+$I$20+$I$21+$I$22+$I$23+$I$24)-C18-B18</f>
        <v>206500</v>
      </c>
      <c r="E18" s="206">
        <f>'P&amp;L-city'!E5*($I$18+$I$19+$I$20+$I$21+$I$22+$I$23+$I$24)-D18-C18-B18+IF(J15="SI",I19*'P&amp;L-city'!D5,0)</f>
        <v>0</v>
      </c>
      <c r="F18" s="173"/>
      <c r="G18" s="171"/>
      <c r="H18" s="17" t="s">
        <v>82</v>
      </c>
      <c r="I18" s="155">
        <v>2450</v>
      </c>
    </row>
    <row r="19" spans="1:10">
      <c r="A19" s="63" t="s">
        <v>87</v>
      </c>
      <c r="B19" s="120">
        <f>B22*$I$19</f>
        <v>21600</v>
      </c>
      <c r="C19" s="120">
        <f>C22*$I$19-B19</f>
        <v>27000</v>
      </c>
      <c r="D19" s="120">
        <f>D22*$I$19-C19-B19</f>
        <v>37800</v>
      </c>
      <c r="E19" s="133">
        <f>E22*$I$19-D19-C19-B19</f>
        <v>21600</v>
      </c>
      <c r="H19" s="15" t="s">
        <v>83</v>
      </c>
      <c r="I19" s="156">
        <f>+IF(J15="SI",0,1350)</f>
        <v>1350</v>
      </c>
      <c r="J19" s="243"/>
    </row>
    <row r="20" spans="1:10">
      <c r="A20" s="60" t="s">
        <v>126</v>
      </c>
      <c r="B20" s="208">
        <v>2</v>
      </c>
      <c r="C20" s="208">
        <v>3</v>
      </c>
      <c r="D20" s="208">
        <v>4</v>
      </c>
      <c r="E20" s="209">
        <v>4</v>
      </c>
      <c r="F20" s="173"/>
      <c r="G20" s="171"/>
      <c r="H20" s="15" t="s">
        <v>125</v>
      </c>
      <c r="I20" s="157">
        <v>15</v>
      </c>
    </row>
    <row r="21" spans="1:10">
      <c r="A21" s="60" t="s">
        <v>134</v>
      </c>
      <c r="B21" s="208">
        <f>+ROUNDUP('P&amp;L-city'!B11*'P&amp;L-city'!B5/(B20*16),0)</f>
        <v>2</v>
      </c>
      <c r="C21" s="208">
        <f>+ROUNDUP('P&amp;L-city'!C11*'P&amp;L-city'!C5/(C20*16),0)</f>
        <v>3</v>
      </c>
      <c r="D21" s="208">
        <f>+ROUNDUP('P&amp;L-city'!D11*'P&amp;L-city'!D5/(D20*16),0)</f>
        <v>4</v>
      </c>
      <c r="E21" s="209">
        <f>+ROUNDUP('P&amp;L-city'!E11*'P&amp;L-city'!E5/(E20*16),0)</f>
        <v>5</v>
      </c>
      <c r="G21" s="171"/>
      <c r="H21" s="15" t="s">
        <v>84</v>
      </c>
      <c r="I21" s="156">
        <v>130</v>
      </c>
    </row>
    <row r="22" spans="1:10">
      <c r="A22" s="60" t="s">
        <v>129</v>
      </c>
      <c r="B22" s="208">
        <f>+B20*4*B21</f>
        <v>16</v>
      </c>
      <c r="C22" s="208">
        <f>+C20*4*C21</f>
        <v>36</v>
      </c>
      <c r="D22" s="208">
        <f>+D20*4*D21</f>
        <v>64</v>
      </c>
      <c r="E22" s="209">
        <f>+E20*4*E21</f>
        <v>80</v>
      </c>
      <c r="F22" s="173" t="s">
        <v>128</v>
      </c>
      <c r="G22" s="171"/>
      <c r="H22" s="15" t="s">
        <v>85</v>
      </c>
      <c r="I22" s="156">
        <v>60</v>
      </c>
    </row>
    <row r="23" spans="1:10">
      <c r="A23" s="203" t="s">
        <v>152</v>
      </c>
      <c r="B23" s="120">
        <f>+B24*($I$18+$I$19+$I$21+$I$22+$I$23+$I$24)</f>
        <v>8230</v>
      </c>
      <c r="C23" s="120">
        <f>+C24*($I$18+$I$19+$I$21+$I$22+$I$23+$I$24)-B23</f>
        <v>4115</v>
      </c>
      <c r="D23" s="120">
        <f>+D24*($I$18+$I$19+$I$21+$I$22+$I$23+$I$24)-C23-B23</f>
        <v>4115</v>
      </c>
      <c r="E23" s="133">
        <f>+E24*($I$18+$I$19+$I$21+$I$22+$I$23+$I$24)-D23-C23-B23</f>
        <v>4115</v>
      </c>
      <c r="G23" s="171"/>
      <c r="H23" s="127" t="s">
        <v>98</v>
      </c>
      <c r="I23" s="157">
        <v>80</v>
      </c>
    </row>
    <row r="24" spans="1:10" ht="15.75" thickBot="1">
      <c r="A24" s="60" t="s">
        <v>151</v>
      </c>
      <c r="B24" s="208">
        <f>+B21</f>
        <v>2</v>
      </c>
      <c r="C24" s="208">
        <f t="shared" ref="C24:E24" si="3">+C21</f>
        <v>3</v>
      </c>
      <c r="D24" s="208">
        <f t="shared" si="3"/>
        <v>4</v>
      </c>
      <c r="E24" s="209">
        <f t="shared" si="3"/>
        <v>5</v>
      </c>
      <c r="G24" s="171"/>
      <c r="H24" s="108" t="s">
        <v>86</v>
      </c>
      <c r="I24" s="158">
        <v>45</v>
      </c>
    </row>
    <row r="25" spans="1:10" ht="15.75" thickBot="1">
      <c r="A25" s="123" t="s">
        <v>94</v>
      </c>
      <c r="B25" s="65">
        <f>B18+B19+B23</f>
        <v>649330</v>
      </c>
      <c r="C25" s="65">
        <f>C18+C19+C23</f>
        <v>444115</v>
      </c>
      <c r="D25" s="65">
        <f>D18+D19+D23</f>
        <v>248415</v>
      </c>
      <c r="E25" s="207">
        <f>E18+E19+E23</f>
        <v>25715</v>
      </c>
      <c r="F25" s="170"/>
      <c r="G25" s="171"/>
      <c r="H25" s="124"/>
      <c r="I25" s="159">
        <f>SUM(I18:I24)</f>
        <v>4130</v>
      </c>
    </row>
    <row r="26" spans="1:10">
      <c r="A26" s="114" t="s">
        <v>99</v>
      </c>
      <c r="B26" s="66">
        <f>+(B25)/4</f>
        <v>162332.5</v>
      </c>
      <c r="C26" s="66">
        <f>SUM(B25:C25)/4</f>
        <v>273361.25</v>
      </c>
      <c r="D26" s="66">
        <f>SUM(B25:D25)/4</f>
        <v>335465</v>
      </c>
      <c r="E26" s="67">
        <f>SUM(B25:E25)/4</f>
        <v>341893.75</v>
      </c>
      <c r="F26" s="170" t="s">
        <v>107</v>
      </c>
      <c r="G26" s="171"/>
    </row>
    <row r="27" spans="1:10">
      <c r="A27" s="114" t="s">
        <v>95</v>
      </c>
      <c r="B27" s="66">
        <f>+B25</f>
        <v>649330</v>
      </c>
      <c r="C27" s="66">
        <f>+C25+B27</f>
        <v>1093445</v>
      </c>
      <c r="D27" s="66">
        <f t="shared" ref="C27:E28" si="4">+D25+C27</f>
        <v>1341860</v>
      </c>
      <c r="E27" s="67">
        <f t="shared" si="4"/>
        <v>1367575</v>
      </c>
      <c r="F27" s="170"/>
      <c r="G27" s="171"/>
    </row>
    <row r="28" spans="1:10" ht="15.75" thickBot="1">
      <c r="A28" s="115" t="s">
        <v>96</v>
      </c>
      <c r="B28" s="125">
        <f>+B26</f>
        <v>162332.5</v>
      </c>
      <c r="C28" s="125">
        <f t="shared" si="4"/>
        <v>435693.75</v>
      </c>
      <c r="D28" s="125">
        <f t="shared" si="4"/>
        <v>771158.75</v>
      </c>
      <c r="E28" s="210">
        <f t="shared" si="4"/>
        <v>1113052.5</v>
      </c>
      <c r="F28" s="170"/>
      <c r="G28" s="171"/>
    </row>
    <row r="29" spans="1:10" ht="15.75" thickBot="1"/>
    <row r="30" spans="1:10">
      <c r="A30" s="22" t="s">
        <v>78</v>
      </c>
      <c r="B30" s="32">
        <f>+B11+B15+B25</f>
        <v>672430</v>
      </c>
      <c r="C30" s="32">
        <f t="shared" ref="C30:E31" si="5">+C11+C15+C25</f>
        <v>457115</v>
      </c>
      <c r="D30" s="32">
        <f t="shared" si="5"/>
        <v>267815</v>
      </c>
      <c r="E30" s="33">
        <f t="shared" si="5"/>
        <v>35715</v>
      </c>
      <c r="F30" s="170"/>
    </row>
    <row r="31" spans="1:10">
      <c r="A31" s="114" t="s">
        <v>79</v>
      </c>
      <c r="B31" s="66">
        <f>+B12+B16+B26</f>
        <v>167507.5</v>
      </c>
      <c r="C31" s="66">
        <f t="shared" si="5"/>
        <v>281786.25</v>
      </c>
      <c r="D31" s="66">
        <f t="shared" si="5"/>
        <v>348740</v>
      </c>
      <c r="E31" s="67">
        <f t="shared" si="5"/>
        <v>357668.75</v>
      </c>
      <c r="F31" s="170"/>
    </row>
    <row r="32" spans="1:10">
      <c r="A32" s="114" t="s">
        <v>80</v>
      </c>
      <c r="B32" s="66">
        <f>+B30</f>
        <v>672430</v>
      </c>
      <c r="C32" s="66">
        <f>+B32+C30</f>
        <v>1129545</v>
      </c>
      <c r="D32" s="66">
        <f t="shared" ref="D32:E32" si="6">+C32+D30</f>
        <v>1397360</v>
      </c>
      <c r="E32" s="67">
        <f t="shared" si="6"/>
        <v>1433075</v>
      </c>
      <c r="F32" s="170"/>
    </row>
    <row r="33" spans="1:6" ht="15.75" thickBot="1">
      <c r="A33" s="115" t="s">
        <v>81</v>
      </c>
      <c r="B33" s="28">
        <f>+B31</f>
        <v>167507.5</v>
      </c>
      <c r="C33" s="28">
        <f>+B33+C31</f>
        <v>449293.75</v>
      </c>
      <c r="D33" s="28">
        <f t="shared" ref="D33:E33" si="7">+C33+D31</f>
        <v>798033.75</v>
      </c>
      <c r="E33" s="29">
        <f t="shared" si="7"/>
        <v>1155702.5</v>
      </c>
      <c r="F33" s="18"/>
    </row>
  </sheetData>
  <mergeCells count="1">
    <mergeCell ref="H15:I15"/>
  </mergeCells>
  <pageMargins left="0.25" right="0.25" top="0.75" bottom="0.75" header="0.3" footer="0.3"/>
  <pageSetup paperSize="9" scale="8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C6" sqref="C6"/>
    </sheetView>
  </sheetViews>
  <sheetFormatPr baseColWidth="10" defaultRowHeight="12.75"/>
  <cols>
    <col min="1" max="1" width="44.42578125" style="20" bestFit="1" customWidth="1"/>
    <col min="2" max="2" width="13.140625" style="20" customWidth="1"/>
    <col min="3" max="3" width="11.140625" style="20" bestFit="1" customWidth="1"/>
    <col min="4" max="5" width="13.140625" style="20" customWidth="1"/>
    <col min="6" max="6" width="13.42578125" style="20" customWidth="1"/>
    <col min="7" max="7" width="23.140625" style="20" customWidth="1"/>
    <col min="8" max="11" width="8.5703125" style="20" customWidth="1"/>
    <col min="12" max="16384" width="11.42578125" style="20"/>
  </cols>
  <sheetData>
    <row r="1" spans="1:12" ht="13.5" thickBot="1">
      <c r="A1" s="129"/>
      <c r="B1" s="212"/>
      <c r="C1" s="212"/>
      <c r="D1" s="212"/>
      <c r="E1" s="212"/>
    </row>
    <row r="2" spans="1:12" ht="15.75" thickBot="1">
      <c r="A2" s="19"/>
      <c r="B2" s="35">
        <v>1</v>
      </c>
      <c r="C2" s="36">
        <v>2</v>
      </c>
      <c r="D2" s="36">
        <v>3</v>
      </c>
      <c r="E2" s="37">
        <v>4</v>
      </c>
    </row>
    <row r="3" spans="1:12">
      <c r="A3" s="70" t="s">
        <v>35</v>
      </c>
      <c r="B3" s="99">
        <f>SUM(B4:B5)/2</f>
        <v>150</v>
      </c>
      <c r="C3" s="99">
        <f>SUM(C4:C5)/2</f>
        <v>200</v>
      </c>
      <c r="D3" s="99">
        <f>SUM(D4:D5)/2</f>
        <v>275</v>
      </c>
      <c r="E3" s="87">
        <f>SUM(E4:E5)/2</f>
        <v>300</v>
      </c>
    </row>
    <row r="4" spans="1:12">
      <c r="A4" s="60" t="s">
        <v>36</v>
      </c>
      <c r="B4" s="96">
        <v>150</v>
      </c>
      <c r="C4" s="96">
        <v>150</v>
      </c>
      <c r="D4" s="96">
        <f>+C5</f>
        <v>250</v>
      </c>
      <c r="E4" s="88">
        <f>+D5</f>
        <v>300</v>
      </c>
    </row>
    <row r="5" spans="1:12">
      <c r="A5" s="60" t="s">
        <v>37</v>
      </c>
      <c r="B5" s="96">
        <v>150</v>
      </c>
      <c r="C5" s="96">
        <v>250</v>
      </c>
      <c r="D5" s="96">
        <v>300</v>
      </c>
      <c r="E5" s="88">
        <v>300</v>
      </c>
    </row>
    <row r="6" spans="1:12">
      <c r="A6" s="86" t="s">
        <v>38</v>
      </c>
      <c r="B6" s="98">
        <f>+(B7+B8)/2</f>
        <v>22.5</v>
      </c>
      <c r="C6" s="98">
        <f>+((C5-B5)*(B7+B8)/2+B5*(C7+C8)/2)/C3</f>
        <v>61.875</v>
      </c>
      <c r="D6" s="98">
        <f>+((D5-C5)*(B7+B8)/2+(C5-B5)*(C7+C8)/2+B5*(D7+D8)/2)/D3</f>
        <v>85.909090909090907</v>
      </c>
      <c r="E6" s="91">
        <f>+((E5-D5)*(B7+B8)/2+(D5-C5)*(C7+C8)/2+(C5-B5)*(D7+D8)/2+B5*(E7+E8)/2)/E3</f>
        <v>113.75</v>
      </c>
      <c r="F6" s="105" t="s">
        <v>121</v>
      </c>
    </row>
    <row r="7" spans="1:12">
      <c r="A7" s="60" t="s">
        <v>39</v>
      </c>
      <c r="B7" s="38">
        <v>0</v>
      </c>
      <c r="C7" s="38">
        <f>+B8</f>
        <v>45</v>
      </c>
      <c r="D7" s="38">
        <f>+C8</f>
        <v>90</v>
      </c>
      <c r="E7" s="39">
        <f>+D8</f>
        <v>120</v>
      </c>
      <c r="F7" s="110"/>
      <c r="G7" s="105"/>
    </row>
    <row r="8" spans="1:12">
      <c r="A8" s="60" t="s">
        <v>40</v>
      </c>
      <c r="B8" s="38">
        <v>45</v>
      </c>
      <c r="C8" s="38">
        <v>90</v>
      </c>
      <c r="D8" s="38">
        <v>120</v>
      </c>
      <c r="E8" s="39">
        <v>150</v>
      </c>
      <c r="F8" s="110"/>
      <c r="G8" s="105"/>
    </row>
    <row r="9" spans="1:12">
      <c r="A9" s="71" t="s">
        <v>117</v>
      </c>
      <c r="B9" s="38">
        <f>+B6/$F$9</f>
        <v>1.6071428571428572</v>
      </c>
      <c r="C9" s="38">
        <f t="shared" ref="C9:E9" si="0">+C6/$F$9</f>
        <v>4.4196428571428568</v>
      </c>
      <c r="D9" s="38">
        <f t="shared" si="0"/>
        <v>6.1363636363636358</v>
      </c>
      <c r="E9" s="39">
        <f t="shared" si="0"/>
        <v>8.125</v>
      </c>
      <c r="F9" s="110">
        <v>14</v>
      </c>
      <c r="G9" s="105" t="s">
        <v>122</v>
      </c>
    </row>
    <row r="10" spans="1:12">
      <c r="A10" s="71" t="s">
        <v>135</v>
      </c>
      <c r="B10" s="38">
        <v>5</v>
      </c>
      <c r="C10" s="38">
        <v>5</v>
      </c>
      <c r="D10" s="38">
        <v>5</v>
      </c>
      <c r="E10" s="39">
        <v>5</v>
      </c>
      <c r="F10" s="110"/>
      <c r="G10" s="105"/>
    </row>
    <row r="11" spans="1:12" ht="13.5" thickBot="1">
      <c r="A11" s="95" t="s">
        <v>118</v>
      </c>
      <c r="B11" s="213">
        <f>+B10*B9/(55*0.85)+0.1</f>
        <v>0.27188693659281893</v>
      </c>
      <c r="C11" s="213">
        <f t="shared" ref="C11:E11" si="1">+C10*C9/(55*0.85)+0.1</f>
        <v>0.57268907563025206</v>
      </c>
      <c r="D11" s="213">
        <f t="shared" si="1"/>
        <v>0.7562955760816723</v>
      </c>
      <c r="E11" s="214">
        <f t="shared" si="1"/>
        <v>0.96898395721925135</v>
      </c>
      <c r="F11" s="110" t="s">
        <v>136</v>
      </c>
      <c r="G11" s="105"/>
    </row>
    <row r="12" spans="1:12" ht="13.5" thickBot="1">
      <c r="A12" s="160" t="s">
        <v>41</v>
      </c>
      <c r="B12" s="161">
        <f>+B15+B13</f>
        <v>184781.25</v>
      </c>
      <c r="C12" s="161">
        <f>+C15+C13</f>
        <v>677531.25</v>
      </c>
      <c r="D12" s="161">
        <f>+D15+D13</f>
        <v>1293468.75</v>
      </c>
      <c r="E12" s="162">
        <f>+E15+E13</f>
        <v>1868343.75</v>
      </c>
      <c r="F12" s="110"/>
      <c r="G12" s="105"/>
    </row>
    <row r="13" spans="1:12">
      <c r="A13" s="59" t="s">
        <v>44</v>
      </c>
      <c r="B13" s="99">
        <f>+B6*B14*365*B3</f>
        <v>184781.25</v>
      </c>
      <c r="C13" s="99">
        <f>+C6*C14*365*C3</f>
        <v>677531.25</v>
      </c>
      <c r="D13" s="99">
        <f>+D6*D14*365*D3</f>
        <v>1293468.75</v>
      </c>
      <c r="E13" s="87">
        <f>+E6*E14*365*E3</f>
        <v>1868343.75</v>
      </c>
      <c r="F13" s="110"/>
    </row>
    <row r="14" spans="1:12">
      <c r="A14" s="76" t="s">
        <v>45</v>
      </c>
      <c r="B14" s="38">
        <v>0.15</v>
      </c>
      <c r="C14" s="38">
        <f>+B14</f>
        <v>0.15</v>
      </c>
      <c r="D14" s="38">
        <f t="shared" ref="D14:E14" si="2">+C14</f>
        <v>0.15</v>
      </c>
      <c r="E14" s="39">
        <f t="shared" si="2"/>
        <v>0.15</v>
      </c>
      <c r="F14" s="110"/>
      <c r="G14" s="105"/>
      <c r="H14" s="192"/>
    </row>
    <row r="15" spans="1:12">
      <c r="A15" s="61" t="s">
        <v>42</v>
      </c>
      <c r="B15" s="97">
        <f>SUM(B16:B17)</f>
        <v>0</v>
      </c>
      <c r="C15" s="97">
        <f>SUM(C16:C17)</f>
        <v>0</v>
      </c>
      <c r="D15" s="97">
        <f>SUM(D16:D17)</f>
        <v>0</v>
      </c>
      <c r="E15" s="89">
        <f>SUM(E16:E17)</f>
        <v>0</v>
      </c>
      <c r="F15" s="110"/>
      <c r="G15" s="105"/>
      <c r="I15" s="220"/>
      <c r="J15" s="220"/>
      <c r="K15" s="220"/>
      <c r="L15" s="220"/>
    </row>
    <row r="16" spans="1:12">
      <c r="A16" s="134" t="s">
        <v>109</v>
      </c>
      <c r="B16" s="100">
        <v>0</v>
      </c>
      <c r="C16" s="100">
        <v>0</v>
      </c>
      <c r="D16" s="100">
        <v>0</v>
      </c>
      <c r="E16" s="90">
        <v>0</v>
      </c>
      <c r="F16" s="110"/>
      <c r="G16" s="105"/>
    </row>
    <row r="17" spans="1:13" ht="13.5" thickBot="1">
      <c r="A17" s="163" t="s">
        <v>43</v>
      </c>
      <c r="B17" s="164">
        <v>0</v>
      </c>
      <c r="C17" s="164">
        <v>0</v>
      </c>
      <c r="D17" s="164">
        <v>0</v>
      </c>
      <c r="E17" s="165">
        <v>0</v>
      </c>
      <c r="F17" s="110"/>
      <c r="G17" s="105"/>
      <c r="I17" s="129"/>
      <c r="J17" s="129"/>
      <c r="K17" s="129"/>
      <c r="L17" s="129"/>
    </row>
    <row r="18" spans="1:13" ht="13.5" thickBot="1">
      <c r="A18" s="135" t="s">
        <v>46</v>
      </c>
      <c r="B18" s="101">
        <f>+B19+B29</f>
        <v>151164.97047272726</v>
      </c>
      <c r="C18" s="101">
        <f>+C19+C29</f>
        <v>237591.57760000002</v>
      </c>
      <c r="D18" s="101">
        <f>+D19+D29</f>
        <v>332070.55010909092</v>
      </c>
      <c r="E18" s="101">
        <f>+E19+E29</f>
        <v>394796.35549090913</v>
      </c>
      <c r="F18" s="110"/>
      <c r="G18" s="105"/>
    </row>
    <row r="19" spans="1:13">
      <c r="A19" s="59" t="s">
        <v>47</v>
      </c>
      <c r="B19" s="99">
        <f>(+B20+B21+B22+B23+B24+B25+B26+B27+B28)*B3</f>
        <v>86364.970472727277</v>
      </c>
      <c r="C19" s="99">
        <f>(+C20+C21+C22+C23+C24+C25+C26+C27+C28)*C3</f>
        <v>140391.57760000002</v>
      </c>
      <c r="D19" s="99">
        <f>(+D20+D21+D22+D23+D24+D25+D26+D27+D28)*D3</f>
        <v>202470.55010909092</v>
      </c>
      <c r="E19" s="87">
        <f>(+E20+E21+E22+E23+E24+E25+E26+E27+E28)*E3</f>
        <v>232796.35549090913</v>
      </c>
      <c r="F19" s="110"/>
      <c r="G19" s="105"/>
      <c r="I19" s="129"/>
      <c r="J19" s="129"/>
      <c r="K19" s="129"/>
      <c r="L19" s="129"/>
      <c r="M19" s="220"/>
    </row>
    <row r="20" spans="1:13">
      <c r="A20" s="76" t="s">
        <v>153</v>
      </c>
      <c r="B20" s="100">
        <f>$F$20*12</f>
        <v>300</v>
      </c>
      <c r="C20" s="100">
        <f>+$F$20*12</f>
        <v>300</v>
      </c>
      <c r="D20" s="100">
        <f>+$F$20*12</f>
        <v>300</v>
      </c>
      <c r="E20" s="90">
        <f>+$F$20*12</f>
        <v>300</v>
      </c>
      <c r="F20" s="110">
        <v>25</v>
      </c>
      <c r="G20" s="105" t="s">
        <v>111</v>
      </c>
      <c r="I20" s="129"/>
      <c r="J20" s="129"/>
      <c r="K20" s="129"/>
      <c r="L20" s="129"/>
      <c r="M20" s="220"/>
    </row>
    <row r="21" spans="1:13">
      <c r="A21" s="76" t="s">
        <v>154</v>
      </c>
      <c r="B21" s="100">
        <f>+$F$21*12*(B3+'CAPEX-city'!B22)/B3</f>
        <v>0</v>
      </c>
      <c r="C21" s="100">
        <f>+$F$21*12*(C3+'CAPEX-city'!C22)/C3</f>
        <v>0</v>
      </c>
      <c r="D21" s="100">
        <f>+$F$21*12*(D3+'CAPEX-city'!D22)/D3</f>
        <v>0</v>
      </c>
      <c r="E21" s="90">
        <f>+$F$21*12*(E3+'CAPEX-city'!E22)/E3</f>
        <v>0</v>
      </c>
      <c r="F21" s="110">
        <f>+IF('CAPEX-city'!J15="SI",33,0)</f>
        <v>0</v>
      </c>
      <c r="G21" s="105" t="s">
        <v>111</v>
      </c>
      <c r="I21" s="129"/>
      <c r="J21" s="129"/>
      <c r="K21" s="129"/>
      <c r="L21" s="129"/>
      <c r="M21" s="220"/>
    </row>
    <row r="22" spans="1:13">
      <c r="A22" s="76" t="s">
        <v>155</v>
      </c>
      <c r="B22" s="218">
        <f>$F$22*(1+1.048)*(B10*B9/55*2+2*0.1)*365</f>
        <v>54.086469818181818</v>
      </c>
      <c r="C22" s="218">
        <f>$F$22*(1+1.048)*(C10*C9/55*2+2*0.1)*365</f>
        <v>110.27788799999999</v>
      </c>
      <c r="D22" s="218">
        <f>$F$22*(1+1.048)*(D10*D9/55*2+2*0.1)*365</f>
        <v>144.57654585123964</v>
      </c>
      <c r="E22" s="219">
        <f>$F$22*(1+1.048)*(E10*E9/55*2+2*0.1)*365</f>
        <v>184.30785163636364</v>
      </c>
      <c r="F22" s="110">
        <v>0.14699999999999999</v>
      </c>
      <c r="G22" s="105" t="s">
        <v>2</v>
      </c>
    </row>
    <row r="23" spans="1:13">
      <c r="A23" s="76" t="s">
        <v>156</v>
      </c>
      <c r="B23" s="218">
        <f>+$F$23</f>
        <v>163</v>
      </c>
      <c r="C23" s="218">
        <f t="shared" ref="C23:E24" si="3">+B23</f>
        <v>163</v>
      </c>
      <c r="D23" s="218">
        <f t="shared" si="3"/>
        <v>163</v>
      </c>
      <c r="E23" s="219">
        <f t="shared" si="3"/>
        <v>163</v>
      </c>
      <c r="F23" s="110">
        <v>163</v>
      </c>
      <c r="G23" s="105" t="s">
        <v>112</v>
      </c>
    </row>
    <row r="24" spans="1:13">
      <c r="A24" s="76" t="s">
        <v>157</v>
      </c>
      <c r="B24" s="218">
        <f>$F$24*12</f>
        <v>36</v>
      </c>
      <c r="C24" s="218">
        <f t="shared" si="3"/>
        <v>36</v>
      </c>
      <c r="D24" s="218">
        <f t="shared" si="3"/>
        <v>36</v>
      </c>
      <c r="E24" s="219">
        <f t="shared" si="3"/>
        <v>36</v>
      </c>
      <c r="F24" s="110">
        <v>3</v>
      </c>
      <c r="G24" s="105" t="s">
        <v>111</v>
      </c>
    </row>
    <row r="25" spans="1:13">
      <c r="A25" s="76" t="s">
        <v>158</v>
      </c>
      <c r="B25" s="218">
        <f>35*0.9*12/100</f>
        <v>3.78</v>
      </c>
      <c r="C25" s="218">
        <f t="shared" ref="C25:E25" si="4">35*0.9*12/100</f>
        <v>3.78</v>
      </c>
      <c r="D25" s="218">
        <f t="shared" si="4"/>
        <v>3.78</v>
      </c>
      <c r="E25" s="219">
        <f t="shared" si="4"/>
        <v>3.78</v>
      </c>
      <c r="F25" s="105" t="s">
        <v>145</v>
      </c>
    </row>
    <row r="26" spans="1:13">
      <c r="A26" s="76" t="s">
        <v>159</v>
      </c>
      <c r="B26" s="218">
        <f>+(1*'CAPEX-city'!$I$24/2+3*3+0.2*'CAPEX-city'!$I$23)*12/100</f>
        <v>5.7</v>
      </c>
      <c r="C26" s="218">
        <f>+(1*'CAPEX-city'!$I$24/2+3*3+0.2*'CAPEX-city'!$I$23)*12/100</f>
        <v>5.7</v>
      </c>
      <c r="D26" s="218">
        <f>+(1*'CAPEX-city'!$I$24/2+3*3+0.2*'CAPEX-city'!$I$23)*12/100</f>
        <v>5.7</v>
      </c>
      <c r="E26" s="219">
        <f>+(1*'CAPEX-city'!$I$24/2+3*3+0.2*'CAPEX-city'!$I$23)*12/100</f>
        <v>5.7</v>
      </c>
      <c r="F26" s="110" t="s">
        <v>144</v>
      </c>
      <c r="G26" s="105"/>
      <c r="I26" s="221"/>
      <c r="J26" s="221"/>
      <c r="K26" s="221"/>
      <c r="L26" s="221"/>
    </row>
    <row r="27" spans="1:13">
      <c r="A27" s="76" t="s">
        <v>160</v>
      </c>
      <c r="B27" s="218">
        <v>0</v>
      </c>
      <c r="C27" s="218">
        <f>+F27</f>
        <v>70</v>
      </c>
      <c r="D27" s="218">
        <f>+F27</f>
        <v>70</v>
      </c>
      <c r="E27" s="219">
        <f>+F27</f>
        <v>70</v>
      </c>
      <c r="F27" s="110">
        <v>70</v>
      </c>
      <c r="G27" s="105" t="s">
        <v>146</v>
      </c>
    </row>
    <row r="28" spans="1:13">
      <c r="A28" s="76" t="s">
        <v>161</v>
      </c>
      <c r="B28" s="218">
        <f>55*2*12/100</f>
        <v>13.2</v>
      </c>
      <c r="C28" s="218">
        <f t="shared" ref="C28:E28" si="5">55*2*12/100</f>
        <v>13.2</v>
      </c>
      <c r="D28" s="218">
        <f t="shared" si="5"/>
        <v>13.2</v>
      </c>
      <c r="E28" s="219">
        <f t="shared" si="5"/>
        <v>13.2</v>
      </c>
      <c r="F28" s="105" t="s">
        <v>143</v>
      </c>
      <c r="G28" s="105" t="s">
        <v>111</v>
      </c>
    </row>
    <row r="29" spans="1:13">
      <c r="A29" s="136" t="s">
        <v>48</v>
      </c>
      <c r="B29" s="97">
        <f>+B30*$F$29*12</f>
        <v>64800</v>
      </c>
      <c r="C29" s="97">
        <f>+C30*$F$29*12</f>
        <v>97200</v>
      </c>
      <c r="D29" s="97">
        <f>+D30*$F$29*12</f>
        <v>129600</v>
      </c>
      <c r="E29" s="89">
        <f>+E30*$F$29*12</f>
        <v>162000</v>
      </c>
      <c r="F29" s="110">
        <v>900</v>
      </c>
      <c r="G29" s="105" t="s">
        <v>140</v>
      </c>
    </row>
    <row r="30" spans="1:13" ht="13.5" thickBot="1">
      <c r="A30" s="62" t="s">
        <v>127</v>
      </c>
      <c r="B30" s="104">
        <f>+ROUNDUP(B11*B3/('CAPEX-city'!B20*16),0)*2*1.5</f>
        <v>6</v>
      </c>
      <c r="C30" s="104">
        <f>+ROUNDUP(C11*C3/('CAPEX-city'!C20*16),0)*2*1.5</f>
        <v>9</v>
      </c>
      <c r="D30" s="104">
        <f>+ROUNDUP(D11*D3/('CAPEX-city'!D20*16),0)*2*1.5</f>
        <v>12</v>
      </c>
      <c r="E30" s="128">
        <f>+ROUNDUP(E11*E3/('CAPEX-city'!E20*16),0)*2*1.5</f>
        <v>15</v>
      </c>
      <c r="F30" s="105" t="s">
        <v>130</v>
      </c>
      <c r="G30" s="105"/>
      <c r="I30" s="220"/>
      <c r="J30" s="220"/>
      <c r="K30" s="220"/>
      <c r="L30" s="220"/>
    </row>
    <row r="31" spans="1:13" ht="13.5" thickBot="1">
      <c r="A31" s="92" t="s">
        <v>49</v>
      </c>
      <c r="B31" s="224">
        <f>B12-B18</f>
        <v>33616.279527272738</v>
      </c>
      <c r="C31" s="94">
        <f>C12-C18</f>
        <v>439939.67239999998</v>
      </c>
      <c r="D31" s="94">
        <f>D12-D18</f>
        <v>961398.19989090902</v>
      </c>
      <c r="E31" s="93">
        <f>E12-E18</f>
        <v>1473547.3945090908</v>
      </c>
      <c r="F31" s="110"/>
      <c r="G31" s="105"/>
    </row>
    <row r="32" spans="1:13" ht="13.5" thickBot="1">
      <c r="F32" s="110"/>
      <c r="G32" s="105"/>
    </row>
    <row r="33" spans="1:13" ht="13.5" thickBot="1">
      <c r="A33" s="131" t="s">
        <v>101</v>
      </c>
      <c r="B33" s="101">
        <f>+B34+B44</f>
        <v>69840</v>
      </c>
      <c r="C33" s="101">
        <f>+C34+C44</f>
        <v>91140</v>
      </c>
      <c r="D33" s="101">
        <f>+D34+D44</f>
        <v>124140</v>
      </c>
      <c r="E33" s="139">
        <f>+E34+E44</f>
        <v>125940</v>
      </c>
      <c r="F33" s="105"/>
      <c r="G33" s="105"/>
    </row>
    <row r="34" spans="1:13">
      <c r="A34" s="59" t="s">
        <v>100</v>
      </c>
      <c r="B34" s="99">
        <f>+B35+B42+B43</f>
        <v>19140</v>
      </c>
      <c r="C34" s="99">
        <f>+C35+C42+C43</f>
        <v>20940</v>
      </c>
      <c r="D34" s="99">
        <f>+D35+D42+D43</f>
        <v>22740</v>
      </c>
      <c r="E34" s="87">
        <f>+E35+E42+E43</f>
        <v>24540</v>
      </c>
      <c r="F34" s="105"/>
      <c r="G34" s="105"/>
    </row>
    <row r="35" spans="1:13">
      <c r="A35" s="109" t="s">
        <v>55</v>
      </c>
      <c r="B35" s="102">
        <f>SUM(B36:B40)</f>
        <v>6240</v>
      </c>
      <c r="C35" s="102">
        <f>SUM(C36:C40)</f>
        <v>6240</v>
      </c>
      <c r="D35" s="102">
        <f>SUM(D36:D40)</f>
        <v>6240</v>
      </c>
      <c r="E35" s="138">
        <f>SUM(E36:E40)</f>
        <v>6240</v>
      </c>
      <c r="F35" s="105"/>
      <c r="G35" s="105"/>
    </row>
    <row r="36" spans="1:13">
      <c r="A36" s="60" t="s">
        <v>58</v>
      </c>
      <c r="B36" s="96">
        <f>$F$36*(H48)*12</f>
        <v>1680</v>
      </c>
      <c r="C36" s="96">
        <f t="shared" ref="C36:C40" si="6">+B36</f>
        <v>1680</v>
      </c>
      <c r="D36" s="96">
        <f t="shared" ref="D36:E36" si="7">+C36</f>
        <v>1680</v>
      </c>
      <c r="E36" s="88">
        <f t="shared" si="7"/>
        <v>1680</v>
      </c>
      <c r="F36" s="110">
        <v>35</v>
      </c>
      <c r="G36" s="105" t="s">
        <v>62</v>
      </c>
      <c r="H36" s="105"/>
      <c r="I36" s="105"/>
      <c r="J36" s="105"/>
      <c r="K36" s="105"/>
      <c r="L36" s="105"/>
      <c r="M36" s="105"/>
    </row>
    <row r="37" spans="1:13">
      <c r="A37" s="60" t="s">
        <v>56</v>
      </c>
      <c r="B37" s="96">
        <f>F37*12</f>
        <v>1800</v>
      </c>
      <c r="C37" s="96">
        <f t="shared" si="6"/>
        <v>1800</v>
      </c>
      <c r="D37" s="96">
        <f t="shared" ref="D37:E37" si="8">+C37</f>
        <v>1800</v>
      </c>
      <c r="E37" s="88">
        <f t="shared" si="8"/>
        <v>1800</v>
      </c>
      <c r="F37" s="110">
        <v>150</v>
      </c>
      <c r="G37" s="105" t="s">
        <v>61</v>
      </c>
    </row>
    <row r="38" spans="1:13">
      <c r="A38" s="60" t="s">
        <v>57</v>
      </c>
      <c r="B38" s="96">
        <f>F38*12</f>
        <v>600</v>
      </c>
      <c r="C38" s="96">
        <f t="shared" si="6"/>
        <v>600</v>
      </c>
      <c r="D38" s="96">
        <f t="shared" ref="D38:E38" si="9">+C38</f>
        <v>600</v>
      </c>
      <c r="E38" s="88">
        <f t="shared" si="9"/>
        <v>600</v>
      </c>
      <c r="F38" s="110">
        <v>50</v>
      </c>
      <c r="G38" s="105" t="s">
        <v>61</v>
      </c>
    </row>
    <row r="39" spans="1:13">
      <c r="A39" s="60" t="s">
        <v>141</v>
      </c>
      <c r="B39" s="96">
        <f>F39*12</f>
        <v>360</v>
      </c>
      <c r="C39" s="96">
        <f t="shared" si="6"/>
        <v>360</v>
      </c>
      <c r="D39" s="96">
        <f t="shared" ref="D39:E39" si="10">+C39</f>
        <v>360</v>
      </c>
      <c r="E39" s="88">
        <f t="shared" si="10"/>
        <v>360</v>
      </c>
      <c r="F39" s="118">
        <v>30</v>
      </c>
      <c r="G39" s="105" t="s">
        <v>61</v>
      </c>
    </row>
    <row r="40" spans="1:13">
      <c r="A40" s="60" t="s">
        <v>142</v>
      </c>
      <c r="B40" s="96">
        <f>F40*12</f>
        <v>1800</v>
      </c>
      <c r="C40" s="96">
        <f t="shared" si="6"/>
        <v>1800</v>
      </c>
      <c r="D40" s="96">
        <f t="shared" ref="D40:E40" si="11">+C40</f>
        <v>1800</v>
      </c>
      <c r="E40" s="88">
        <f t="shared" si="11"/>
        <v>1800</v>
      </c>
      <c r="F40" s="118">
        <v>150</v>
      </c>
      <c r="G40" s="105" t="s">
        <v>61</v>
      </c>
    </row>
    <row r="41" spans="1:13">
      <c r="A41" s="109" t="s">
        <v>63</v>
      </c>
      <c r="B41" s="100">
        <v>1200</v>
      </c>
      <c r="C41" s="100">
        <v>1200</v>
      </c>
      <c r="D41" s="100">
        <v>1200</v>
      </c>
      <c r="E41" s="90">
        <v>1200</v>
      </c>
      <c r="F41" s="118"/>
    </row>
    <row r="42" spans="1:13">
      <c r="A42" s="109" t="s">
        <v>113</v>
      </c>
      <c r="B42" s="100">
        <f>1500</f>
        <v>1500</v>
      </c>
      <c r="C42" s="100">
        <f>1500</f>
        <v>1500</v>
      </c>
      <c r="D42" s="100">
        <f>1500</f>
        <v>1500</v>
      </c>
      <c r="E42" s="90">
        <f>1500</f>
        <v>1500</v>
      </c>
    </row>
    <row r="43" spans="1:13" ht="13.5" thickBot="1">
      <c r="A43" s="109" t="s">
        <v>59</v>
      </c>
      <c r="B43" s="100">
        <f>800*12+150*12*'CAPEX-city'!B10</f>
        <v>11400</v>
      </c>
      <c r="C43" s="100">
        <f>800*12+150*12*'CAPEX-city'!C10</f>
        <v>13200</v>
      </c>
      <c r="D43" s="100">
        <f>800*12+150*12*'CAPEX-city'!D10</f>
        <v>15000</v>
      </c>
      <c r="E43" s="90">
        <f>800*12+150*12*'CAPEX-city'!E10</f>
        <v>16800</v>
      </c>
      <c r="F43" s="105"/>
    </row>
    <row r="44" spans="1:13" ht="15.75" thickBot="1">
      <c r="A44" s="86" t="s">
        <v>60</v>
      </c>
      <c r="B44" s="97">
        <f>SUM(B45:B46)</f>
        <v>50700</v>
      </c>
      <c r="C44" s="97">
        <f>SUM(C45:C46)</f>
        <v>70200</v>
      </c>
      <c r="D44" s="97">
        <f>SUM(D45:D46)</f>
        <v>101400</v>
      </c>
      <c r="E44" s="89">
        <f>SUM(E45:E46)</f>
        <v>101400</v>
      </c>
      <c r="F44" s="117" t="s">
        <v>53</v>
      </c>
      <c r="G44" s="166"/>
      <c r="H44" s="237">
        <v>1</v>
      </c>
      <c r="I44" s="238">
        <v>2</v>
      </c>
      <c r="J44" s="238">
        <v>3</v>
      </c>
      <c r="K44" s="239">
        <v>4</v>
      </c>
    </row>
    <row r="45" spans="1:13">
      <c r="A45" s="60" t="s">
        <v>54</v>
      </c>
      <c r="B45" s="96">
        <f>$F$45*1.3*12*H45</f>
        <v>31200</v>
      </c>
      <c r="C45" s="96">
        <f>$F$45*1.3*12*I45</f>
        <v>31200</v>
      </c>
      <c r="D45" s="96">
        <f>$F$45*1.3*12*J45</f>
        <v>62400</v>
      </c>
      <c r="E45" s="88">
        <f>$F$45*1.3*12*K45</f>
        <v>62400</v>
      </c>
      <c r="F45" s="116">
        <v>2000</v>
      </c>
      <c r="G45" s="234" t="s">
        <v>54</v>
      </c>
      <c r="H45" s="216">
        <v>1</v>
      </c>
      <c r="I45" s="103">
        <v>1</v>
      </c>
      <c r="J45" s="103">
        <v>2</v>
      </c>
      <c r="K45" s="167">
        <v>2</v>
      </c>
    </row>
    <row r="46" spans="1:13">
      <c r="A46" s="60" t="s">
        <v>3</v>
      </c>
      <c r="B46" s="96">
        <f>$F$46*1.3*12*H46</f>
        <v>19500</v>
      </c>
      <c r="C46" s="96">
        <f>$F$46*1.3*12*I46</f>
        <v>39000</v>
      </c>
      <c r="D46" s="96">
        <f>$F$46*1.3*12*J46</f>
        <v>39000</v>
      </c>
      <c r="E46" s="88">
        <f>$F$46*1.3*12*K46</f>
        <v>39000</v>
      </c>
      <c r="F46" s="116">
        <v>1250</v>
      </c>
      <c r="G46" s="235" t="s">
        <v>3</v>
      </c>
      <c r="H46" s="216">
        <v>1</v>
      </c>
      <c r="I46" s="103">
        <v>2</v>
      </c>
      <c r="J46" s="103">
        <v>2</v>
      </c>
      <c r="K46" s="167">
        <v>2</v>
      </c>
    </row>
    <row r="47" spans="1:13" ht="13.5" thickBot="1">
      <c r="A47" s="62" t="s">
        <v>139</v>
      </c>
      <c r="B47" s="104">
        <f>$F$47*1.3*12*H47</f>
        <v>31200</v>
      </c>
      <c r="C47" s="104">
        <f>$F$47*1.3*12*I47</f>
        <v>31200</v>
      </c>
      <c r="D47" s="104">
        <f>$F$47*1.3*12*J47</f>
        <v>46800</v>
      </c>
      <c r="E47" s="128">
        <f>$F$47*1.3*12*K47</f>
        <v>46800</v>
      </c>
      <c r="F47" s="116">
        <v>1000</v>
      </c>
      <c r="G47" s="236" t="s">
        <v>139</v>
      </c>
      <c r="H47" s="217">
        <v>2</v>
      </c>
      <c r="I47" s="168">
        <v>2</v>
      </c>
      <c r="J47" s="168">
        <v>3</v>
      </c>
      <c r="K47" s="169">
        <v>3</v>
      </c>
    </row>
    <row r="48" spans="1:13" ht="13.5" thickBot="1">
      <c r="A48" s="142" t="s">
        <v>64</v>
      </c>
      <c r="B48" s="94">
        <v>50000</v>
      </c>
      <c r="C48" s="94">
        <v>100000</v>
      </c>
      <c r="D48" s="94">
        <v>50000</v>
      </c>
      <c r="E48" s="93">
        <v>50000</v>
      </c>
      <c r="F48" s="34"/>
      <c r="H48" s="20">
        <f>SUM(H45:H47)</f>
        <v>4</v>
      </c>
      <c r="I48" s="20">
        <f>SUM(I45:I47)</f>
        <v>5</v>
      </c>
      <c r="J48" s="20">
        <f>SUM(J45:J47)</f>
        <v>7</v>
      </c>
      <c r="K48" s="20">
        <f>SUM(K45:K47)</f>
        <v>7</v>
      </c>
    </row>
    <row r="49" spans="1:7" ht="13.5" thickBot="1"/>
    <row r="50" spans="1:7" ht="13.5" thickBot="1">
      <c r="A50" s="142" t="s">
        <v>1</v>
      </c>
      <c r="B50" s="140">
        <f>+B31-B33-B48</f>
        <v>-86223.720472727262</v>
      </c>
      <c r="C50" s="140">
        <f>+C31-C33-C48</f>
        <v>248799.67239999998</v>
      </c>
      <c r="D50" s="140">
        <f>+D31-D33-D48</f>
        <v>787258.19989090902</v>
      </c>
      <c r="E50" s="140">
        <f>+E31-E33-E48</f>
        <v>1297607.3945090908</v>
      </c>
    </row>
    <row r="51" spans="1:7" hidden="1"/>
    <row r="52" spans="1:7" ht="13.5" thickBot="1">
      <c r="A52" s="137" t="s">
        <v>50</v>
      </c>
      <c r="B52" s="21">
        <f>+'CAPEX-city'!B31</f>
        <v>167507.5</v>
      </c>
      <c r="C52" s="21">
        <f>+'CAPEX-city'!C31</f>
        <v>281786.25</v>
      </c>
      <c r="D52" s="21">
        <f>+'CAPEX-city'!D31</f>
        <v>348740</v>
      </c>
      <c r="E52" s="21">
        <f>+'CAPEX-city'!E31</f>
        <v>357668.75</v>
      </c>
    </row>
    <row r="53" spans="1:7" ht="13.5" hidden="1" thickBot="1"/>
    <row r="54" spans="1:7" ht="15.75" thickBot="1">
      <c r="A54" s="143" t="s">
        <v>65</v>
      </c>
      <c r="B54" s="94">
        <f>+B50-B52</f>
        <v>-253731.22047272726</v>
      </c>
      <c r="C54" s="94">
        <f>+C50-C52</f>
        <v>-32986.577600000019</v>
      </c>
      <c r="D54" s="94">
        <f>+D50-D52</f>
        <v>438518.19989090902</v>
      </c>
      <c r="E54" s="93">
        <f>+E50-E52</f>
        <v>939938.64450909081</v>
      </c>
    </row>
    <row r="56" spans="1:7" ht="15">
      <c r="A56" s="13" t="s">
        <v>51</v>
      </c>
      <c r="B56" s="21">
        <f>IF(B54&gt;0,0,-B54)</f>
        <v>253731.22047272726</v>
      </c>
      <c r="C56" s="21">
        <f>IF(C54-B56&gt;0,0,B56-C54)</f>
        <v>286717.79807272728</v>
      </c>
      <c r="D56" s="21">
        <f>IF(D54-C56&gt;0,0,C56-D54)</f>
        <v>0</v>
      </c>
      <c r="E56" s="21">
        <f>IF(E54-D56&gt;0,0,D56-E54)</f>
        <v>0</v>
      </c>
    </row>
    <row r="57" spans="1:7" ht="15">
      <c r="A57" s="13" t="s">
        <v>52</v>
      </c>
      <c r="B57" s="21">
        <f>+IF(B54&gt;0,B54*F57,0)</f>
        <v>0</v>
      </c>
      <c r="C57" s="21">
        <f>IF(C56&gt;0,0,C54-B56)*F57</f>
        <v>0</v>
      </c>
      <c r="D57" s="21">
        <f>IF(D56&gt;0,0,D54-C56)*F57</f>
        <v>37950.100454545434</v>
      </c>
      <c r="E57" s="21">
        <f>IF(E56&gt;0,0,E54-D56)*F57</f>
        <v>234984.6611272727</v>
      </c>
      <c r="F57" s="179">
        <v>0.25</v>
      </c>
      <c r="G57" s="105" t="s">
        <v>116</v>
      </c>
    </row>
    <row r="58" spans="1:7" ht="13.5" thickBot="1"/>
    <row r="59" spans="1:7" ht="15.75" thickBot="1">
      <c r="A59" s="144" t="s">
        <v>66</v>
      </c>
      <c r="B59" s="141">
        <f>+B54-B57</f>
        <v>-253731.22047272726</v>
      </c>
      <c r="C59" s="106">
        <f>+C54-C57</f>
        <v>-32986.577600000019</v>
      </c>
      <c r="D59" s="106">
        <f>+D54-D57</f>
        <v>400568.09943636355</v>
      </c>
      <c r="E59" s="107">
        <f>+E54-E57</f>
        <v>704953.98338181805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selection activeCell="A8" sqref="A8"/>
    </sheetView>
  </sheetViews>
  <sheetFormatPr baseColWidth="10" defaultRowHeight="15"/>
  <cols>
    <col min="1" max="1" width="46.85546875" style="1" customWidth="1"/>
    <col min="2" max="2" width="11.42578125" style="1" customWidth="1"/>
    <col min="3" max="4" width="13.140625" style="1" bestFit="1" customWidth="1"/>
    <col min="5" max="5" width="11.42578125" style="1" customWidth="1"/>
    <col min="6" max="6" width="11.85546875" style="1" customWidth="1"/>
    <col min="7" max="16384" width="11.42578125" style="1"/>
  </cols>
  <sheetData>
    <row r="1" spans="1:11" ht="15.75" thickBot="1">
      <c r="A1" s="14"/>
      <c r="B1" s="4"/>
      <c r="C1" s="4"/>
      <c r="D1" s="4"/>
      <c r="E1" s="4"/>
    </row>
    <row r="2" spans="1:11" ht="16.5" thickBot="1">
      <c r="A2" s="14"/>
      <c r="B2" s="35">
        <v>1</v>
      </c>
      <c r="C2" s="36">
        <v>2</v>
      </c>
      <c r="D2" s="36">
        <v>3</v>
      </c>
      <c r="E2" s="37">
        <v>4</v>
      </c>
      <c r="F2" s="56"/>
    </row>
    <row r="3" spans="1:11">
      <c r="A3" s="9" t="s">
        <v>4</v>
      </c>
      <c r="B3" s="30">
        <f>+'CAPEX-city'!B32</f>
        <v>672430</v>
      </c>
      <c r="C3" s="30">
        <f>+'CAPEX-city'!C32</f>
        <v>1129545</v>
      </c>
      <c r="D3" s="30">
        <f>+'CAPEX-city'!D32</f>
        <v>1397360</v>
      </c>
      <c r="E3" s="31">
        <f>+'CAPEX-city'!E32</f>
        <v>1433075</v>
      </c>
    </row>
    <row r="4" spans="1:11">
      <c r="A4" s="10" t="s">
        <v>5</v>
      </c>
      <c r="B4" s="54">
        <f>-'CAPEX-city'!B33</f>
        <v>-167507.5</v>
      </c>
      <c r="C4" s="54">
        <f>-'CAPEX-city'!C33</f>
        <v>-449293.75</v>
      </c>
      <c r="D4" s="54">
        <f>-'CAPEX-city'!D33</f>
        <v>-798033.75</v>
      </c>
      <c r="E4" s="55">
        <f>-'CAPEX-city'!E33</f>
        <v>-1155702.5</v>
      </c>
    </row>
    <row r="5" spans="1:11" ht="15.75" thickBot="1">
      <c r="A5" s="145" t="s">
        <v>6</v>
      </c>
      <c r="B5" s="66">
        <f>SUM(B3:B4)</f>
        <v>504922.5</v>
      </c>
      <c r="C5" s="66">
        <f>SUM(C3:C4)</f>
        <v>680251.25</v>
      </c>
      <c r="D5" s="66">
        <f>SUM(D3:D4)</f>
        <v>599326.25</v>
      </c>
      <c r="E5" s="67">
        <f>SUM(E3:E4)</f>
        <v>277372.5</v>
      </c>
    </row>
    <row r="6" spans="1:11">
      <c r="A6" s="9" t="s">
        <v>7</v>
      </c>
      <c r="B6" s="30">
        <f>'P&amp;L-city'!B12*$F$6/365</f>
        <v>0</v>
      </c>
      <c r="C6" s="30">
        <f>'P&amp;L-city'!C12*$F$6/365</f>
        <v>0</v>
      </c>
      <c r="D6" s="30">
        <f>'P&amp;L-city'!D12*$F$6/365</f>
        <v>0</v>
      </c>
      <c r="E6" s="31">
        <f>'P&amp;L-city'!E12*$F$6/365</f>
        <v>0</v>
      </c>
      <c r="F6" s="1">
        <v>0</v>
      </c>
      <c r="G6" s="3" t="s">
        <v>18</v>
      </c>
    </row>
    <row r="7" spans="1:11">
      <c r="A7" s="10" t="s">
        <v>8</v>
      </c>
      <c r="B7" s="46">
        <f>B18-B5-B6</f>
        <v>252483.47009464516</v>
      </c>
      <c r="C7" s="46">
        <f t="shared" ref="C7:E7" si="0">C18-C5-C6</f>
        <v>50650.057856039959</v>
      </c>
      <c r="D7" s="46">
        <f t="shared" si="0"/>
        <v>535327.22465579072</v>
      </c>
      <c r="E7" s="47">
        <f t="shared" si="0"/>
        <v>1564886.7034642587</v>
      </c>
      <c r="F7" s="3"/>
    </row>
    <row r="8" spans="1:11" ht="15.75" thickBot="1">
      <c r="A8" s="6" t="s">
        <v>9</v>
      </c>
      <c r="B8" s="28">
        <f>SUM(B6:B7)</f>
        <v>252483.47009464516</v>
      </c>
      <c r="C8" s="28">
        <f>SUM(C6:C7)</f>
        <v>50650.057856039959</v>
      </c>
      <c r="D8" s="28">
        <f>SUM(D6:D7)</f>
        <v>535327.22465579072</v>
      </c>
      <c r="E8" s="29">
        <f>SUM(E6:E7)</f>
        <v>1564886.7034642587</v>
      </c>
    </row>
    <row r="9" spans="1:11" ht="15.75" thickBot="1">
      <c r="A9" s="12" t="s">
        <v>10</v>
      </c>
      <c r="B9" s="27">
        <f>B8+B5</f>
        <v>757405.97009464516</v>
      </c>
      <c r="C9" s="64">
        <f>C8+C5</f>
        <v>730901.30785603996</v>
      </c>
      <c r="D9" s="28">
        <f>D8+D5</f>
        <v>1134653.4746557907</v>
      </c>
      <c r="E9" s="29">
        <f>E8+E5</f>
        <v>1842259.2034642587</v>
      </c>
    </row>
    <row r="10" spans="1:11" ht="15.75" thickBot="1">
      <c r="A10" s="12"/>
      <c r="B10" s="58"/>
      <c r="C10" s="75"/>
      <c r="D10" s="75"/>
      <c r="E10" s="58"/>
    </row>
    <row r="11" spans="1:11" ht="15.75" thickBot="1">
      <c r="A11" s="12"/>
      <c r="B11" s="35">
        <v>1</v>
      </c>
      <c r="C11" s="36">
        <v>2</v>
      </c>
      <c r="D11" s="36">
        <v>3</v>
      </c>
      <c r="E11" s="37">
        <v>4</v>
      </c>
    </row>
    <row r="12" spans="1:11">
      <c r="A12" s="9" t="s">
        <v>11</v>
      </c>
      <c r="B12" s="41">
        <v>1000000</v>
      </c>
      <c r="C12" s="41">
        <f>+B12</f>
        <v>1000000</v>
      </c>
      <c r="D12" s="41">
        <f>+C12</f>
        <v>1000000</v>
      </c>
      <c r="E12" s="130">
        <f>+C12</f>
        <v>1000000</v>
      </c>
      <c r="I12" s="223"/>
      <c r="K12" s="3"/>
    </row>
    <row r="13" spans="1:11">
      <c r="A13" s="10" t="s">
        <v>12</v>
      </c>
      <c r="B13" s="42">
        <v>0</v>
      </c>
      <c r="C13" s="42">
        <f>B13+B14</f>
        <v>-253731.22047272726</v>
      </c>
      <c r="D13" s="42">
        <f>C13+C14</f>
        <v>-286717.79807272728</v>
      </c>
      <c r="E13" s="8">
        <f>D13+D14</f>
        <v>113850.30136363627</v>
      </c>
      <c r="F13" s="3"/>
    </row>
    <row r="14" spans="1:11">
      <c r="A14" s="10" t="s">
        <v>13</v>
      </c>
      <c r="B14" s="42">
        <f>+'P&amp;L-city'!B59</f>
        <v>-253731.22047272726</v>
      </c>
      <c r="C14" s="42">
        <f>+'P&amp;L-city'!C59</f>
        <v>-32986.577600000019</v>
      </c>
      <c r="D14" s="42">
        <f>+'P&amp;L-city'!D59</f>
        <v>400568.09943636355</v>
      </c>
      <c r="E14" s="8">
        <f>+'P&amp;L-city'!E59</f>
        <v>704953.98338181805</v>
      </c>
    </row>
    <row r="15" spans="1:11" ht="15.75" thickBot="1">
      <c r="A15" s="6" t="s">
        <v>14</v>
      </c>
      <c r="B15" s="49">
        <f>SUM(B12:B14)</f>
        <v>746268.7795272728</v>
      </c>
      <c r="C15" s="49">
        <f>SUM(C12:C14)</f>
        <v>713282.20192727284</v>
      </c>
      <c r="D15" s="49">
        <f>SUM(D12:D14)</f>
        <v>1113850.3013636363</v>
      </c>
      <c r="E15" s="7">
        <f>SUM(E12:E14)</f>
        <v>1818804.2847454543</v>
      </c>
    </row>
    <row r="16" spans="1:11">
      <c r="A16" s="9" t="s">
        <v>15</v>
      </c>
      <c r="B16" s="42">
        <f>$F$16*('P&amp;L-city'!B33+'P&amp;L-city'!B18+'P&amp;L-city'!B48)/365</f>
        <v>11137.190567372352</v>
      </c>
      <c r="C16" s="42">
        <f>$F$16*('P&amp;L-city'!C33+'P&amp;L-city'!C18+'P&amp;L-city'!C48)/365</f>
        <v>17619.105928767123</v>
      </c>
      <c r="D16" s="42">
        <f>$F$16*('P&amp;L-city'!D33+'P&amp;L-city'!D18+'P&amp;L-city'!D48)/365</f>
        <v>20803.173292154421</v>
      </c>
      <c r="E16" s="8">
        <f>$F$16*('P&amp;L-city'!E33+'P&amp;L-city'!E18+'P&amp;L-city'!E48)/365</f>
        <v>23454.918718804485</v>
      </c>
      <c r="F16" s="1">
        <v>15</v>
      </c>
      <c r="G16" s="3" t="s">
        <v>19</v>
      </c>
      <c r="H16" s="3"/>
    </row>
    <row r="17" spans="1:9" ht="15.75" thickBot="1">
      <c r="A17" s="6" t="s">
        <v>16</v>
      </c>
      <c r="B17" s="49">
        <f>+B16</f>
        <v>11137.190567372352</v>
      </c>
      <c r="C17" s="49">
        <f>+C16</f>
        <v>17619.105928767123</v>
      </c>
      <c r="D17" s="49">
        <f>+D16</f>
        <v>20803.173292154421</v>
      </c>
      <c r="E17" s="7">
        <f>+E16</f>
        <v>23454.918718804485</v>
      </c>
    </row>
    <row r="18" spans="1:9" ht="15.75" thickBot="1">
      <c r="A18" s="12" t="s">
        <v>17</v>
      </c>
      <c r="B18" s="50">
        <f>+B17+B15</f>
        <v>757405.97009464516</v>
      </c>
      <c r="C18" s="50">
        <f>+C17+C15</f>
        <v>730901.30785603996</v>
      </c>
      <c r="D18" s="50">
        <f>+D17+D15</f>
        <v>1134653.4746557907</v>
      </c>
      <c r="E18" s="50">
        <f>+E17+E15</f>
        <v>1842259.2034642587</v>
      </c>
    </row>
    <row r="19" spans="1:9" ht="15.75" thickBot="1">
      <c r="B19" s="3"/>
      <c r="C19" s="3"/>
      <c r="D19" s="3"/>
      <c r="E19" s="3"/>
    </row>
    <row r="20" spans="1:9" ht="15.75" thickBot="1">
      <c r="A20" s="14"/>
      <c r="B20" s="35">
        <v>1</v>
      </c>
      <c r="C20" s="36">
        <v>2</v>
      </c>
      <c r="D20" s="36">
        <v>3</v>
      </c>
      <c r="E20" s="37">
        <v>4</v>
      </c>
      <c r="F20" s="3"/>
    </row>
    <row r="21" spans="1:9" ht="15.75" thickBot="1">
      <c r="A21" s="40" t="s">
        <v>20</v>
      </c>
      <c r="B21" s="146">
        <f>SUM(B22:B27)</f>
        <v>1178644.6905673724</v>
      </c>
      <c r="C21" s="146">
        <f t="shared" ref="C21:E21" si="1">SUM(C22:C27)</f>
        <v>490101.57759999996</v>
      </c>
      <c r="D21" s="146">
        <f t="shared" si="1"/>
        <v>752492.16679975088</v>
      </c>
      <c r="E21" s="147">
        <f t="shared" si="1"/>
        <v>1065274.4788084682</v>
      </c>
    </row>
    <row r="22" spans="1:9">
      <c r="A22" s="10" t="s">
        <v>114</v>
      </c>
      <c r="B22" s="51">
        <v>0</v>
      </c>
      <c r="C22" s="174">
        <f>+IF(C3-B3&lt;0,C3-B3,0)</f>
        <v>0</v>
      </c>
      <c r="D22" s="174">
        <f>+IF(D3-C3&lt;0,D3-C3,0)</f>
        <v>0</v>
      </c>
      <c r="E22" s="175">
        <f>+IF(E3-D3&lt;0,E3-D3,0)</f>
        <v>0</v>
      </c>
    </row>
    <row r="23" spans="1:9">
      <c r="A23" s="10" t="s">
        <v>21</v>
      </c>
      <c r="B23" s="51">
        <f>+IF(B4&lt;0,-B4,0)</f>
        <v>167507.5</v>
      </c>
      <c r="C23" s="51">
        <f>+IF(C4-B4&lt;0,B4-C4,0)</f>
        <v>281786.25</v>
      </c>
      <c r="D23" s="51">
        <f>+IF(D4-C4&lt;0,C4-D4,0)</f>
        <v>348740</v>
      </c>
      <c r="E23" s="111">
        <f>+IF(E4-D4&lt;0,D4-E4,0)</f>
        <v>357668.75</v>
      </c>
    </row>
    <row r="24" spans="1:9">
      <c r="A24" s="10" t="s">
        <v>22</v>
      </c>
      <c r="B24" s="51">
        <f>IF(B14&gt;0,B14,0)</f>
        <v>0</v>
      </c>
      <c r="C24" s="51">
        <f>IF(C14&gt;0,C14,0)</f>
        <v>0</v>
      </c>
      <c r="D24" s="51">
        <f>IF(D14&gt;0,D14,0)</f>
        <v>400568.09943636355</v>
      </c>
      <c r="E24" s="68">
        <f>IF(E14&gt;0,E14,0)</f>
        <v>704953.98338181805</v>
      </c>
      <c r="F24" s="3"/>
      <c r="G24" s="3"/>
      <c r="H24" s="3"/>
      <c r="I24" s="3"/>
    </row>
    <row r="25" spans="1:9">
      <c r="A25" s="10" t="s">
        <v>23</v>
      </c>
      <c r="B25" s="51">
        <f t="shared" ref="B25:E25" si="2">IF(B40&lt;0,-B40,0)</f>
        <v>11137.190567372352</v>
      </c>
      <c r="C25" s="51">
        <f t="shared" si="2"/>
        <v>6481.915361394771</v>
      </c>
      <c r="D25" s="51">
        <f t="shared" si="2"/>
        <v>3184.0673633872975</v>
      </c>
      <c r="E25" s="68">
        <f t="shared" si="2"/>
        <v>2651.7454266500645</v>
      </c>
      <c r="F25" s="3"/>
      <c r="G25" s="3"/>
      <c r="H25" s="3"/>
      <c r="I25" s="3"/>
    </row>
    <row r="26" spans="1:9">
      <c r="A26" s="10" t="s">
        <v>24</v>
      </c>
      <c r="B26" s="51">
        <f>+B12</f>
        <v>1000000</v>
      </c>
      <c r="C26" s="51">
        <f>+C12-B12</f>
        <v>0</v>
      </c>
      <c r="D26" s="51">
        <f>+D12-C12</f>
        <v>0</v>
      </c>
      <c r="E26" s="68">
        <f>+E12-D12</f>
        <v>0</v>
      </c>
    </row>
    <row r="27" spans="1:9" ht="15.75" thickBot="1">
      <c r="A27" s="11" t="s">
        <v>25</v>
      </c>
      <c r="B27" s="52">
        <v>0</v>
      </c>
      <c r="C27" s="52">
        <f>+IF(B7-C7&gt;0,B7-C7,0)</f>
        <v>201833.4122386052</v>
      </c>
      <c r="D27" s="52">
        <f>+IF(C7-D7&gt;0,C7-D7,0)</f>
        <v>0</v>
      </c>
      <c r="E27" s="112">
        <f>+IF(D7-E7&gt;0,D7-E7,0)</f>
        <v>0</v>
      </c>
    </row>
    <row r="28" spans="1:9" ht="15.75" thickBot="1">
      <c r="A28" s="40" t="s">
        <v>26</v>
      </c>
      <c r="B28" s="48">
        <f>SUM(B29:B34)</f>
        <v>1178644.6905673724</v>
      </c>
      <c r="C28" s="48">
        <f t="shared" ref="C28:E28" si="3">SUM(C29:C34)</f>
        <v>490101.57760000002</v>
      </c>
      <c r="D28" s="48">
        <f t="shared" si="3"/>
        <v>752492.16679975076</v>
      </c>
      <c r="E28" s="53">
        <f t="shared" si="3"/>
        <v>1065274.478808468</v>
      </c>
    </row>
    <row r="29" spans="1:9">
      <c r="A29" s="10" t="s">
        <v>115</v>
      </c>
      <c r="B29" s="41">
        <f>+B3</f>
        <v>672430</v>
      </c>
      <c r="C29" s="69">
        <f>+IF(C3-B3&gt;0,C3-B3,0)</f>
        <v>457115</v>
      </c>
      <c r="D29" s="69">
        <f>+IF(D3-C3&gt;0,D3-C3,0)</f>
        <v>267815</v>
      </c>
      <c r="E29" s="57">
        <f>+IF(E3-D3&gt;0,E3-D3,0)</f>
        <v>35715</v>
      </c>
    </row>
    <row r="30" spans="1:9">
      <c r="A30" s="10" t="s">
        <v>27</v>
      </c>
      <c r="B30" s="51">
        <v>0</v>
      </c>
      <c r="C30" s="51">
        <f>+IF(C4-B4&lt;0,0,C4-B4)</f>
        <v>0</v>
      </c>
      <c r="D30" s="51">
        <f>+IF(D4-C4&lt;0,0,D4-C4)</f>
        <v>0</v>
      </c>
      <c r="E30" s="111">
        <f>+IF(E4-D4&lt;0,0,E4-D4)</f>
        <v>0</v>
      </c>
    </row>
    <row r="31" spans="1:9">
      <c r="A31" s="10" t="s">
        <v>28</v>
      </c>
      <c r="B31" s="51">
        <f>IF(-B14&gt;0,-B14,0)</f>
        <v>253731.22047272726</v>
      </c>
      <c r="C31" s="51">
        <f>IF(-C14&gt;0,-C14,0)</f>
        <v>32986.577600000019</v>
      </c>
      <c r="D31" s="51">
        <f>IF(-D14&gt;0,-D14,0)</f>
        <v>0</v>
      </c>
      <c r="E31" s="111">
        <f>IF(-E14&gt;0,-E14,0)</f>
        <v>0</v>
      </c>
    </row>
    <row r="32" spans="1:9">
      <c r="A32" s="10" t="s">
        <v>29</v>
      </c>
      <c r="B32" s="51">
        <f t="shared" ref="B32:E32" si="4">IF(B40&gt;0,B40,0)</f>
        <v>0</v>
      </c>
      <c r="C32" s="51">
        <f t="shared" si="4"/>
        <v>0</v>
      </c>
      <c r="D32" s="51">
        <f t="shared" si="4"/>
        <v>0</v>
      </c>
      <c r="E32" s="111">
        <f t="shared" si="4"/>
        <v>0</v>
      </c>
    </row>
    <row r="33" spans="1:5">
      <c r="A33" s="10" t="s">
        <v>30</v>
      </c>
      <c r="B33" s="42">
        <v>0</v>
      </c>
      <c r="C33" s="42">
        <v>0</v>
      </c>
      <c r="D33" s="42">
        <v>0</v>
      </c>
      <c r="E33" s="44">
        <v>0</v>
      </c>
    </row>
    <row r="34" spans="1:5" ht="15.75" thickBot="1">
      <c r="A34" s="11" t="s">
        <v>31</v>
      </c>
      <c r="B34" s="43">
        <f>+B7</f>
        <v>252483.47009464516</v>
      </c>
      <c r="C34" s="43">
        <f>IF(-(C7-B7)&lt;0,(C7-B7),0)</f>
        <v>0</v>
      </c>
      <c r="D34" s="43">
        <f>IF(-(D7-C7)&lt;0,(D7-C7),0)</f>
        <v>484677.16679975076</v>
      </c>
      <c r="E34" s="45">
        <f>IF(-(E7-D7)&lt;0,(E7-D7),0)</f>
        <v>1029559.478808468</v>
      </c>
    </row>
    <row r="35" spans="1:5" ht="15.75" thickBot="1">
      <c r="B35" s="3"/>
      <c r="C35" s="3"/>
      <c r="D35" s="3"/>
      <c r="E35" s="3"/>
    </row>
    <row r="36" spans="1:5" ht="15.75" thickBot="1">
      <c r="A36" s="2"/>
      <c r="B36" s="35">
        <v>1</v>
      </c>
      <c r="C36" s="36">
        <v>2</v>
      </c>
      <c r="D36" s="36">
        <v>3</v>
      </c>
      <c r="E36" s="37">
        <v>4</v>
      </c>
    </row>
    <row r="37" spans="1:5">
      <c r="A37" s="176" t="s">
        <v>32</v>
      </c>
      <c r="B37" s="225">
        <f>+B6</f>
        <v>0</v>
      </c>
      <c r="C37" s="41">
        <f t="shared" ref="C37:E37" si="5">+C6</f>
        <v>0</v>
      </c>
      <c r="D37" s="41">
        <f t="shared" si="5"/>
        <v>0</v>
      </c>
      <c r="E37" s="130">
        <f t="shared" si="5"/>
        <v>0</v>
      </c>
    </row>
    <row r="38" spans="1:5">
      <c r="A38" s="177" t="s">
        <v>16</v>
      </c>
      <c r="B38" s="226">
        <f>B17</f>
        <v>11137.190567372352</v>
      </c>
      <c r="C38" s="42">
        <f>C17</f>
        <v>17619.105928767123</v>
      </c>
      <c r="D38" s="42">
        <f>D17</f>
        <v>20803.173292154421</v>
      </c>
      <c r="E38" s="44">
        <f>E17</f>
        <v>23454.918718804485</v>
      </c>
    </row>
    <row r="39" spans="1:5">
      <c r="A39" s="177" t="s">
        <v>33</v>
      </c>
      <c r="B39" s="226">
        <f t="shared" ref="B39:E39" si="6">B37-B38</f>
        <v>-11137.190567372352</v>
      </c>
      <c r="C39" s="42">
        <f t="shared" si="6"/>
        <v>-17619.105928767123</v>
      </c>
      <c r="D39" s="42">
        <f t="shared" si="6"/>
        <v>-20803.173292154421</v>
      </c>
      <c r="E39" s="44">
        <f t="shared" si="6"/>
        <v>-23454.918718804485</v>
      </c>
    </row>
    <row r="40" spans="1:5" ht="15.75" thickBot="1">
      <c r="A40" s="178" t="s">
        <v>34</v>
      </c>
      <c r="B40" s="227">
        <f>B39</f>
        <v>-11137.190567372352</v>
      </c>
      <c r="C40" s="43">
        <f>C39-B39</f>
        <v>-6481.915361394771</v>
      </c>
      <c r="D40" s="43">
        <f>D39-C39</f>
        <v>-3184.0673633872975</v>
      </c>
      <c r="E40" s="45">
        <f>E39-D39</f>
        <v>-2651.7454266500645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13" workbookViewId="0">
      <selection activeCell="D21" sqref="D21"/>
    </sheetView>
  </sheetViews>
  <sheetFormatPr baseColWidth="10" defaultRowHeight="15"/>
  <cols>
    <col min="1" max="1" width="11.42578125" style="1"/>
    <col min="2" max="2" width="4.140625" style="1" customWidth="1"/>
    <col min="3" max="3" width="20.5703125" style="1" customWidth="1"/>
    <col min="4" max="4" width="15.5703125" style="1" customWidth="1"/>
    <col min="5" max="6" width="14.5703125" style="1" customWidth="1"/>
    <col min="7" max="8" width="16.7109375" style="1" customWidth="1"/>
    <col min="9" max="9" width="14.5703125" style="1" bestFit="1" customWidth="1"/>
    <col min="10" max="16384" width="11.42578125" style="1"/>
  </cols>
  <sheetData>
    <row r="1" spans="2:9" ht="15" customHeight="1" thickBot="1">
      <c r="B1" s="5"/>
    </row>
    <row r="2" spans="2:9" ht="15" customHeight="1" thickBot="1">
      <c r="B2" s="72"/>
      <c r="C2" s="1" t="s">
        <v>123</v>
      </c>
      <c r="D2" s="228">
        <v>2018</v>
      </c>
      <c r="E2" s="229">
        <v>2019</v>
      </c>
      <c r="F2" s="229">
        <v>2020</v>
      </c>
      <c r="G2" s="230">
        <v>2021</v>
      </c>
    </row>
    <row r="3" spans="2:9">
      <c r="B3" s="73"/>
      <c r="C3" s="184" t="s">
        <v>102</v>
      </c>
      <c r="D3" s="180">
        <v>1</v>
      </c>
      <c r="E3" s="180">
        <v>1</v>
      </c>
      <c r="F3" s="180">
        <v>1</v>
      </c>
      <c r="G3" s="181">
        <v>1</v>
      </c>
    </row>
    <row r="4" spans="2:9">
      <c r="B4" s="73"/>
      <c r="C4" s="185" t="s">
        <v>119</v>
      </c>
      <c r="D4" s="182">
        <f>+D3*'P&amp;L-city'!B3</f>
        <v>150</v>
      </c>
      <c r="E4" s="182">
        <f>+(E3-D3)*'P&amp;L-city'!B3+D3*'P&amp;L-city'!C3</f>
        <v>200</v>
      </c>
      <c r="F4" s="182">
        <f>+(F3-E3)*'P&amp;L-city'!B3+(E3-D3)*'P&amp;L-city'!C3+D3*'P&amp;L-city'!D3</f>
        <v>275</v>
      </c>
      <c r="G4" s="183">
        <f>+(G3-F3)*'P&amp;L-city'!B3+(F3-E3)*'P&amp;L-city'!C3+(E3-D3)*'P&amp;L-city'!D3+D3*'P&amp;L-city'!E3</f>
        <v>300</v>
      </c>
      <c r="I4" s="222"/>
    </row>
    <row r="5" spans="2:9">
      <c r="B5" s="73"/>
      <c r="C5" s="185" t="s">
        <v>147</v>
      </c>
      <c r="D5" s="182">
        <f>+D3*'P&amp;L-city'!B5</f>
        <v>150</v>
      </c>
      <c r="E5" s="182">
        <f>+(E3-D3)*'P&amp;L-city'!B5+D3*'P&amp;L-city'!C5</f>
        <v>250</v>
      </c>
      <c r="F5" s="182">
        <f>+(F3-E3)*'P&amp;L-city'!B5+(E3-D3)*'P&amp;L-city'!C5+D3*'P&amp;L-city'!D5</f>
        <v>300</v>
      </c>
      <c r="G5" s="183">
        <f>+(G3-F3)*'P&amp;L-city'!B5+(F3-E3)*'P&amp;L-city'!C5+(E3-D3)*'P&amp;L-city'!D5+D3*'P&amp;L-city'!E5</f>
        <v>300</v>
      </c>
      <c r="I5" s="222"/>
    </row>
    <row r="6" spans="2:9" ht="15.75" thickBot="1">
      <c r="B6" s="73"/>
      <c r="C6" s="186" t="s">
        <v>120</v>
      </c>
      <c r="D6" s="187">
        <f>'P&amp;L-city'!B9*'P&amp;L-city'!B3*D3</f>
        <v>241.07142857142858</v>
      </c>
      <c r="E6" s="187">
        <f>+'P&amp;L-city'!C9*'P&amp;L-city'!C3*D3+'P&amp;L-city'!B9*'P&amp;L-city'!B3*(E3-D3)</f>
        <v>883.92857142857133</v>
      </c>
      <c r="F6" s="187">
        <f>+'P&amp;L-city'!D9*'P&amp;L-city'!D3*D3+'P&amp;L-city'!C9*'P&amp;L-city'!C3*(E3-D3)+'P&amp;L-city'!B9*'P&amp;L-city'!B3*(F3-E3)</f>
        <v>1687.4999999999998</v>
      </c>
      <c r="G6" s="188">
        <f>+'P&amp;L-city'!E9*'P&amp;L-city'!E3*D3+'P&amp;L-city'!D9*'P&amp;L-city'!D3*(E3-D3)+'P&amp;L-city'!C9*'P&amp;L-city'!C3*(F3-E3)+'P&amp;L-city'!B9*'P&amp;L-city'!B3*(G3-F3)</f>
        <v>2437.5</v>
      </c>
    </row>
    <row r="7" spans="2:9" ht="15" customHeight="1">
      <c r="B7" s="72"/>
      <c r="C7" s="231" t="s">
        <v>41</v>
      </c>
      <c r="D7" s="232">
        <f>+'P&amp;L-city'!B12*D3</f>
        <v>184781.25</v>
      </c>
      <c r="E7" s="232">
        <f>+(E3-D3)*'P&amp;L-city'!B12+D3*'P&amp;L-city'!C12</f>
        <v>677531.25</v>
      </c>
      <c r="F7" s="232">
        <f>+(F3-E3)*'P&amp;L-city'!B12+(E3-D3)*'P&amp;L-city'!C12+D3*'P&amp;L-city'!D12</f>
        <v>1293468.75</v>
      </c>
      <c r="G7" s="233">
        <f>+(G3-F3)*'P&amp;L-city'!B12+(F3-E3)*'P&amp;L-city'!C12+(E3-D3)*'P&amp;L-city'!D12+D3*'P&amp;L-city'!E12</f>
        <v>1868343.75</v>
      </c>
      <c r="H7" s="189">
        <f>SUM(D7:G7)</f>
        <v>4024125</v>
      </c>
    </row>
    <row r="8" spans="2:9">
      <c r="B8" s="72"/>
      <c r="C8" s="149" t="s">
        <v>0</v>
      </c>
      <c r="D8" s="148">
        <f>+'P&amp;L-city'!B50</f>
        <v>-86223.720472727262</v>
      </c>
      <c r="E8" s="148">
        <f>+(E3-D3)*'P&amp;L-city'!B50+D3*'P&amp;L-city'!C50</f>
        <v>248799.67239999998</v>
      </c>
      <c r="F8" s="148">
        <f>+(F3-E3)*'P&amp;L-city'!B50+(E3-D3)*'P&amp;L-city'!C50+D3*'P&amp;L-city'!D50</f>
        <v>787258.19989090902</v>
      </c>
      <c r="G8" s="150">
        <f>+(G3-F3)*'P&amp;L-city'!B50+(F3-E3)*'P&amp;L-city'!C50+(E3-D3)*'P&amp;L-city'!D50+D3*'P&amp;L-city'!E50</f>
        <v>1297607.3945090908</v>
      </c>
      <c r="H8" s="190">
        <f>SUM(D8:G8)</f>
        <v>2247441.5463272724</v>
      </c>
    </row>
    <row r="9" spans="2:9" ht="15.75" thickBot="1">
      <c r="B9" s="72"/>
      <c r="C9" s="151" t="s">
        <v>103</v>
      </c>
      <c r="D9" s="152">
        <f>+'P&amp;L-city'!B59+'P&amp;L-city'!B52-'Balance Sheet-city'!B40</f>
        <v>-75086.52990535491</v>
      </c>
      <c r="E9" s="152">
        <f>+(E3-D3)*('P&amp;L-city'!B59+'P&amp;L-city'!B52-'Balance Sheet-city'!B40)+D3*('P&amp;L-city'!C59+'P&amp;L-city'!C52-'Balance Sheet-city'!C40)</f>
        <v>255281.58776139474</v>
      </c>
      <c r="F9" s="152">
        <f>+(F3-E3)*('P&amp;L-city'!B59+'P&amp;L-city'!B52-'Balance Sheet-city'!B40)+(E3-D3)*('P&amp;L-city'!C59+'P&amp;L-city'!C52-'Balance Sheet-city'!C40)+D3*('P&amp;L-city'!D59+'P&amp;L-city'!D52-'Balance Sheet-city'!D40)</f>
        <v>752492.16679975088</v>
      </c>
      <c r="G9" s="152">
        <f>+(G3-F3)*('P&amp;L-city'!B59+'P&amp;L-city'!B52-'Balance Sheet-city'!B40)+(F3-E3)*('P&amp;L-city'!C59+'P&amp;L-city'!C52-'Balance Sheet-city'!C40)+(E3-D3)*('P&amp;L-city'!D59+'P&amp;L-city'!D52-'Balance Sheet-city'!D40)+D3*('P&amp;L-city'!E59+'P&amp;L-city'!E52-'Balance Sheet-city'!E40)</f>
        <v>1065274.4788084682</v>
      </c>
      <c r="H9" s="191">
        <f>SUM(D9:G9)</f>
        <v>1997961.7034642589</v>
      </c>
    </row>
    <row r="10" spans="2:9" ht="15" customHeight="1" thickBot="1">
      <c r="B10" s="74"/>
      <c r="F10" s="222"/>
    </row>
    <row r="11" spans="2:9">
      <c r="B11" s="5"/>
      <c r="C11" s="23" t="s">
        <v>0</v>
      </c>
      <c r="D11" s="80"/>
      <c r="E11" s="195">
        <f>+G8</f>
        <v>1297607.3945090908</v>
      </c>
    </row>
    <row r="12" spans="2:9">
      <c r="C12" s="77" t="s">
        <v>67</v>
      </c>
      <c r="D12" s="78"/>
      <c r="E12" s="196">
        <v>7</v>
      </c>
    </row>
    <row r="13" spans="2:9">
      <c r="C13" s="77" t="s">
        <v>68</v>
      </c>
      <c r="D13" s="78"/>
      <c r="E13" s="197">
        <f>+E11*E12</f>
        <v>9083251.7615636364</v>
      </c>
    </row>
    <row r="14" spans="2:9">
      <c r="C14" s="77" t="s">
        <v>69</v>
      </c>
      <c r="D14" s="78"/>
      <c r="E14" s="197">
        <v>0</v>
      </c>
    </row>
    <row r="15" spans="2:9" ht="15.75" thickBot="1">
      <c r="C15" s="81" t="s">
        <v>70</v>
      </c>
      <c r="D15" s="82"/>
      <c r="E15" s="198">
        <f t="shared" ref="E15" si="0">+E13-E14</f>
        <v>9083251.7615636364</v>
      </c>
    </row>
    <row r="16" spans="2:9" ht="15.75" thickBot="1">
      <c r="C16" s="79"/>
      <c r="D16" s="78"/>
      <c r="E16" s="78"/>
    </row>
    <row r="17" spans="3:5" ht="14.25" customHeight="1">
      <c r="C17" s="23" t="s">
        <v>73</v>
      </c>
      <c r="D17" s="193"/>
      <c r="E17" s="195">
        <f>+'Balance Sheet-city'!B12</f>
        <v>1000000</v>
      </c>
    </row>
    <row r="18" spans="3:5">
      <c r="C18" s="77" t="s">
        <v>74</v>
      </c>
      <c r="D18" s="79"/>
      <c r="E18" s="199">
        <v>1</v>
      </c>
    </row>
    <row r="19" spans="3:5">
      <c r="C19" s="77" t="s">
        <v>75</v>
      </c>
      <c r="D19" s="79"/>
      <c r="E19" s="197">
        <f>+E15*E18</f>
        <v>9083251.7615636364</v>
      </c>
    </row>
    <row r="20" spans="3:5">
      <c r="C20" s="77" t="s">
        <v>71</v>
      </c>
      <c r="D20" s="79"/>
      <c r="E20" s="197">
        <f>-E17</f>
        <v>-1000000</v>
      </c>
    </row>
    <row r="21" spans="3:5">
      <c r="C21" s="77" t="s">
        <v>72</v>
      </c>
      <c r="D21" s="79"/>
      <c r="E21" s="197">
        <f>+E19</f>
        <v>9083251.7615636364</v>
      </c>
    </row>
    <row r="22" spans="3:5">
      <c r="C22" s="77" t="s">
        <v>71</v>
      </c>
      <c r="D22" s="79"/>
      <c r="E22" s="200">
        <f>+DATE(2017,12,31)</f>
        <v>43100</v>
      </c>
    </row>
    <row r="23" spans="3:5" ht="15.75" thickBot="1">
      <c r="C23" s="81" t="s">
        <v>72</v>
      </c>
      <c r="D23" s="194"/>
      <c r="E23" s="201">
        <f>+DATE(2021,12,31)</f>
        <v>44561</v>
      </c>
    </row>
    <row r="24" spans="3:5" ht="15.75" thickBot="1">
      <c r="C24" s="79"/>
      <c r="D24" s="79"/>
      <c r="E24" s="83"/>
    </row>
    <row r="25" spans="3:5" ht="15.75" thickBot="1">
      <c r="C25" s="84" t="s">
        <v>124</v>
      </c>
      <c r="D25" s="85"/>
      <c r="E25" s="202">
        <f>+XIRR(E20:E21,E22:E23)</f>
        <v>0.73538712263107286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CAPEX-city</vt:lpstr>
      <vt:lpstr>P&amp;L-city</vt:lpstr>
      <vt:lpstr>Balance Sheet-city</vt:lpstr>
      <vt:lpstr>Value-Summary</vt:lpstr>
      <vt:lpstr>'Balance Sheet-city'!Área_de_impresión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galonso</dc:creator>
  <cp:lastModifiedBy>Nombre de usuario</cp:lastModifiedBy>
  <cp:lastPrinted>2013-06-21T14:07:59Z</cp:lastPrinted>
  <dcterms:created xsi:type="dcterms:W3CDTF">2011-12-11T12:09:37Z</dcterms:created>
  <dcterms:modified xsi:type="dcterms:W3CDTF">2018-01-13T09:10:36Z</dcterms:modified>
</cp:coreProperties>
</file>